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.asghar\Desktop\"/>
    </mc:Choice>
  </mc:AlternateContent>
  <bookViews>
    <workbookView xWindow="0" yWindow="0" windowWidth="20490" windowHeight="7650"/>
  </bookViews>
  <sheets>
    <sheet name="Master Data Entry" sheetId="1" r:id="rId1"/>
  </sheets>
  <definedNames>
    <definedName name="_xlnm._FilterDatabase" localSheetId="0" hidden="1">'Master Data Entry'!$S$674:$S$700</definedName>
    <definedName name="_xlnm.Print_Area" localSheetId="0">'Master Data Entry'!$B$6:$S$820</definedName>
    <definedName name="_xlnm.Print_Titles" localSheetId="0">'Master Data Entry'!$1:$5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19" i="1" l="1"/>
  <c r="O819" i="1"/>
  <c r="M819" i="1"/>
  <c r="L819" i="1"/>
  <c r="K819" i="1"/>
  <c r="J819" i="1"/>
  <c r="I819" i="1"/>
  <c r="F819" i="1"/>
  <c r="R817" i="1"/>
  <c r="N817" i="1"/>
  <c r="H817" i="1"/>
  <c r="R816" i="1"/>
  <c r="N816" i="1"/>
  <c r="H816" i="1"/>
  <c r="B816" i="1"/>
  <c r="B817" i="1" s="1"/>
  <c r="R815" i="1"/>
  <c r="N815" i="1"/>
  <c r="H815" i="1"/>
  <c r="Q812" i="1"/>
  <c r="P812" i="1"/>
  <c r="N812" i="1"/>
  <c r="H812" i="1"/>
  <c r="R811" i="1"/>
  <c r="N811" i="1"/>
  <c r="H811" i="1"/>
  <c r="P810" i="1"/>
  <c r="R810" i="1" s="1"/>
  <c r="N810" i="1"/>
  <c r="H810" i="1"/>
  <c r="R809" i="1"/>
  <c r="N809" i="1"/>
  <c r="H809" i="1"/>
  <c r="P808" i="1"/>
  <c r="N808" i="1"/>
  <c r="H808" i="1"/>
  <c r="P807" i="1"/>
  <c r="R807" i="1" s="1"/>
  <c r="N807" i="1"/>
  <c r="H807" i="1"/>
  <c r="P806" i="1"/>
  <c r="N806" i="1"/>
  <c r="H806" i="1"/>
  <c r="P805" i="1"/>
  <c r="R805" i="1" s="1"/>
  <c r="N805" i="1"/>
  <c r="H805" i="1"/>
  <c r="P804" i="1"/>
  <c r="N804" i="1"/>
  <c r="H804" i="1"/>
  <c r="R803" i="1"/>
  <c r="N803" i="1"/>
  <c r="H803" i="1"/>
  <c r="P802" i="1"/>
  <c r="N802" i="1"/>
  <c r="H802" i="1"/>
  <c r="R801" i="1"/>
  <c r="N801" i="1"/>
  <c r="H801" i="1"/>
  <c r="P800" i="1"/>
  <c r="R800" i="1" s="1"/>
  <c r="N800" i="1"/>
  <c r="H800" i="1"/>
  <c r="R799" i="1"/>
  <c r="N799" i="1"/>
  <c r="H799" i="1"/>
  <c r="Q798" i="1"/>
  <c r="R798" i="1" s="1"/>
  <c r="N798" i="1"/>
  <c r="H798" i="1"/>
  <c r="R797" i="1"/>
  <c r="N797" i="1"/>
  <c r="H797" i="1"/>
  <c r="P796" i="1"/>
  <c r="N796" i="1"/>
  <c r="H796" i="1"/>
  <c r="R795" i="1"/>
  <c r="N795" i="1"/>
  <c r="H795" i="1"/>
  <c r="B795" i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P794" i="1"/>
  <c r="N794" i="1"/>
  <c r="H794" i="1"/>
  <c r="S789" i="1"/>
  <c r="O789" i="1"/>
  <c r="M789" i="1"/>
  <c r="L789" i="1"/>
  <c r="K789" i="1"/>
  <c r="J789" i="1"/>
  <c r="I789" i="1"/>
  <c r="F789" i="1"/>
  <c r="R787" i="1"/>
  <c r="N787" i="1"/>
  <c r="H787" i="1"/>
  <c r="P784" i="1"/>
  <c r="R784" i="1" s="1"/>
  <c r="N784" i="1"/>
  <c r="H784" i="1"/>
  <c r="R783" i="1"/>
  <c r="N783" i="1"/>
  <c r="H783" i="1"/>
  <c r="R782" i="1"/>
  <c r="N782" i="1"/>
  <c r="H782" i="1"/>
  <c r="R781" i="1"/>
  <c r="N781" i="1"/>
  <c r="H781" i="1"/>
  <c r="P780" i="1"/>
  <c r="R780" i="1" s="1"/>
  <c r="N780" i="1"/>
  <c r="H780" i="1"/>
  <c r="R779" i="1"/>
  <c r="N779" i="1"/>
  <c r="H779" i="1"/>
  <c r="R778" i="1"/>
  <c r="N778" i="1"/>
  <c r="H778" i="1"/>
  <c r="B778" i="1"/>
  <c r="R777" i="1"/>
  <c r="N777" i="1"/>
  <c r="H777" i="1"/>
  <c r="S772" i="1"/>
  <c r="O772" i="1"/>
  <c r="M772" i="1"/>
  <c r="L772" i="1"/>
  <c r="K772" i="1"/>
  <c r="J772" i="1"/>
  <c r="I772" i="1"/>
  <c r="F772" i="1"/>
  <c r="R770" i="1"/>
  <c r="N770" i="1"/>
  <c r="H770" i="1"/>
  <c r="R767" i="1"/>
  <c r="N767" i="1"/>
  <c r="H767" i="1"/>
  <c r="P766" i="1"/>
  <c r="R766" i="1" s="1"/>
  <c r="N766" i="1"/>
  <c r="H766" i="1"/>
  <c r="P765" i="1"/>
  <c r="R765" i="1" s="1"/>
  <c r="N765" i="1"/>
  <c r="H765" i="1"/>
  <c r="P764" i="1"/>
  <c r="R764" i="1" s="1"/>
  <c r="N764" i="1"/>
  <c r="H764" i="1"/>
  <c r="P763" i="1"/>
  <c r="N763" i="1"/>
  <c r="H763" i="1"/>
  <c r="P762" i="1"/>
  <c r="R762" i="1" s="1"/>
  <c r="N762" i="1"/>
  <c r="H762" i="1"/>
  <c r="R761" i="1"/>
  <c r="N761" i="1"/>
  <c r="H761" i="1"/>
  <c r="R760" i="1"/>
  <c r="N760" i="1"/>
  <c r="H760" i="1"/>
  <c r="P759" i="1"/>
  <c r="R759" i="1" s="1"/>
  <c r="N759" i="1"/>
  <c r="H759" i="1"/>
  <c r="P758" i="1"/>
  <c r="N758" i="1"/>
  <c r="H758" i="1"/>
  <c r="P757" i="1"/>
  <c r="N757" i="1"/>
  <c r="H757" i="1"/>
  <c r="R756" i="1"/>
  <c r="N756" i="1"/>
  <c r="H756" i="1"/>
  <c r="P755" i="1"/>
  <c r="R755" i="1" s="1"/>
  <c r="N755" i="1"/>
  <c r="H755" i="1"/>
  <c r="R754" i="1"/>
  <c r="N754" i="1"/>
  <c r="H754" i="1"/>
  <c r="P753" i="1"/>
  <c r="N753" i="1"/>
  <c r="H753" i="1"/>
  <c r="P752" i="1"/>
  <c r="R752" i="1" s="1"/>
  <c r="N752" i="1"/>
  <c r="H752" i="1"/>
  <c r="P751" i="1"/>
  <c r="N751" i="1"/>
  <c r="H751" i="1"/>
  <c r="B751" i="1"/>
  <c r="Q750" i="1"/>
  <c r="R750" i="1" s="1"/>
  <c r="N750" i="1"/>
  <c r="H750" i="1"/>
  <c r="S745" i="1"/>
  <c r="O745" i="1"/>
  <c r="M745" i="1"/>
  <c r="L745" i="1"/>
  <c r="K745" i="1"/>
  <c r="J745" i="1"/>
  <c r="I745" i="1"/>
  <c r="F745" i="1"/>
  <c r="R743" i="1"/>
  <c r="N743" i="1"/>
  <c r="H743" i="1"/>
  <c r="B743" i="1"/>
  <c r="R742" i="1"/>
  <c r="N742" i="1"/>
  <c r="H742" i="1"/>
  <c r="P739" i="1"/>
  <c r="N739" i="1"/>
  <c r="H739" i="1"/>
  <c r="R738" i="1"/>
  <c r="N738" i="1"/>
  <c r="H738" i="1"/>
  <c r="B738" i="1"/>
  <c r="P737" i="1"/>
  <c r="N737" i="1"/>
  <c r="H737" i="1"/>
  <c r="S732" i="1"/>
  <c r="O732" i="1"/>
  <c r="M732" i="1"/>
  <c r="L732" i="1"/>
  <c r="K732" i="1"/>
  <c r="J732" i="1"/>
  <c r="I732" i="1"/>
  <c r="F732" i="1"/>
  <c r="R730" i="1"/>
  <c r="N730" i="1"/>
  <c r="H730" i="1"/>
  <c r="R729" i="1"/>
  <c r="N729" i="1"/>
  <c r="H729" i="1"/>
  <c r="B729" i="1"/>
  <c r="B730" i="1" s="1"/>
  <c r="R728" i="1"/>
  <c r="N728" i="1"/>
  <c r="H728" i="1"/>
  <c r="P725" i="1"/>
  <c r="N725" i="1"/>
  <c r="H725" i="1"/>
  <c r="B725" i="1"/>
  <c r="P724" i="1"/>
  <c r="R724" i="1" s="1"/>
  <c r="N724" i="1"/>
  <c r="H724" i="1"/>
  <c r="S719" i="1"/>
  <c r="O719" i="1"/>
  <c r="M719" i="1"/>
  <c r="L719" i="1"/>
  <c r="K719" i="1"/>
  <c r="J719" i="1"/>
  <c r="I719" i="1"/>
  <c r="F719" i="1"/>
  <c r="R717" i="1"/>
  <c r="N717" i="1"/>
  <c r="H717" i="1"/>
  <c r="B717" i="1"/>
  <c r="R716" i="1"/>
  <c r="N716" i="1"/>
  <c r="H716" i="1"/>
  <c r="P713" i="1"/>
  <c r="R713" i="1" s="1"/>
  <c r="N713" i="1"/>
  <c r="H713" i="1"/>
  <c r="P712" i="1"/>
  <c r="N712" i="1"/>
  <c r="H712" i="1"/>
  <c r="R711" i="1"/>
  <c r="N711" i="1"/>
  <c r="H711" i="1"/>
  <c r="R710" i="1"/>
  <c r="N710" i="1"/>
  <c r="H710" i="1"/>
  <c r="P709" i="1"/>
  <c r="R709" i="1" s="1"/>
  <c r="N709" i="1"/>
  <c r="H709" i="1"/>
  <c r="R708" i="1"/>
  <c r="N708" i="1"/>
  <c r="H708" i="1"/>
  <c r="B708" i="1"/>
  <c r="R707" i="1"/>
  <c r="N707" i="1"/>
  <c r="H707" i="1"/>
  <c r="S702" i="1"/>
  <c r="O702" i="1"/>
  <c r="M702" i="1"/>
  <c r="L702" i="1"/>
  <c r="K702" i="1"/>
  <c r="J702" i="1"/>
  <c r="I702" i="1"/>
  <c r="F702" i="1"/>
  <c r="R700" i="1"/>
  <c r="P700" i="1"/>
  <c r="N700" i="1"/>
  <c r="H700" i="1"/>
  <c r="R699" i="1"/>
  <c r="N699" i="1"/>
  <c r="H699" i="1"/>
  <c r="P698" i="1"/>
  <c r="R698" i="1" s="1"/>
  <c r="N698" i="1"/>
  <c r="H698" i="1"/>
  <c r="R697" i="1"/>
  <c r="N697" i="1"/>
  <c r="H697" i="1"/>
  <c r="P696" i="1"/>
  <c r="R696" i="1" s="1"/>
  <c r="N696" i="1"/>
  <c r="H696" i="1"/>
  <c r="R695" i="1"/>
  <c r="N695" i="1"/>
  <c r="H695" i="1"/>
  <c r="R694" i="1"/>
  <c r="N694" i="1"/>
  <c r="H694" i="1"/>
  <c r="P693" i="1"/>
  <c r="R693" i="1" s="1"/>
  <c r="N693" i="1"/>
  <c r="H693" i="1"/>
  <c r="R692" i="1"/>
  <c r="N692" i="1"/>
  <c r="H692" i="1"/>
  <c r="R691" i="1"/>
  <c r="N691" i="1"/>
  <c r="H691" i="1"/>
  <c r="P690" i="1"/>
  <c r="R690" i="1" s="1"/>
  <c r="N690" i="1"/>
  <c r="H690" i="1"/>
  <c r="P689" i="1"/>
  <c r="N689" i="1"/>
  <c r="H689" i="1"/>
  <c r="P688" i="1"/>
  <c r="R688" i="1" s="1"/>
  <c r="N688" i="1"/>
  <c r="H688" i="1"/>
  <c r="R687" i="1"/>
  <c r="N687" i="1"/>
  <c r="H687" i="1"/>
  <c r="R686" i="1"/>
  <c r="N686" i="1"/>
  <c r="H686" i="1"/>
  <c r="P685" i="1"/>
  <c r="R685" i="1" s="1"/>
  <c r="N685" i="1"/>
  <c r="H685" i="1"/>
  <c r="R684" i="1"/>
  <c r="N684" i="1"/>
  <c r="H684" i="1"/>
  <c r="R683" i="1"/>
  <c r="N683" i="1"/>
  <c r="H683" i="1"/>
  <c r="R682" i="1"/>
  <c r="N682" i="1"/>
  <c r="H682" i="1"/>
  <c r="P681" i="1"/>
  <c r="R681" i="1" s="1"/>
  <c r="N681" i="1"/>
  <c r="H681" i="1"/>
  <c r="R680" i="1"/>
  <c r="N680" i="1"/>
  <c r="H680" i="1"/>
  <c r="P679" i="1"/>
  <c r="N679" i="1"/>
  <c r="H679" i="1"/>
  <c r="P678" i="1"/>
  <c r="R678" i="1" s="1"/>
  <c r="N678" i="1"/>
  <c r="H678" i="1"/>
  <c r="R677" i="1"/>
  <c r="N677" i="1"/>
  <c r="H677" i="1"/>
  <c r="P676" i="1"/>
  <c r="R676" i="1" s="1"/>
  <c r="N676" i="1"/>
  <c r="H676" i="1"/>
  <c r="R675" i="1"/>
  <c r="N675" i="1"/>
  <c r="H675" i="1"/>
  <c r="B675" i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R674" i="1"/>
  <c r="N674" i="1"/>
  <c r="H674" i="1"/>
  <c r="S669" i="1"/>
  <c r="O669" i="1"/>
  <c r="M669" i="1"/>
  <c r="L669" i="1"/>
  <c r="K669" i="1"/>
  <c r="J669" i="1"/>
  <c r="I669" i="1"/>
  <c r="F669" i="1"/>
  <c r="R667" i="1"/>
  <c r="N667" i="1"/>
  <c r="H667" i="1"/>
  <c r="Q666" i="1"/>
  <c r="P666" i="1"/>
  <c r="N666" i="1"/>
  <c r="H666" i="1"/>
  <c r="R665" i="1"/>
  <c r="N665" i="1"/>
  <c r="H665" i="1"/>
  <c r="R664" i="1"/>
  <c r="N664" i="1"/>
  <c r="H664" i="1"/>
  <c r="Q663" i="1"/>
  <c r="P663" i="1"/>
  <c r="N663" i="1"/>
  <c r="H663" i="1"/>
  <c r="R662" i="1"/>
  <c r="N662" i="1"/>
  <c r="H662" i="1"/>
  <c r="R661" i="1"/>
  <c r="N661" i="1"/>
  <c r="H661" i="1"/>
  <c r="P660" i="1"/>
  <c r="R660" i="1" s="1"/>
  <c r="N660" i="1"/>
  <c r="H660" i="1"/>
  <c r="B660" i="1"/>
  <c r="P659" i="1"/>
  <c r="R659" i="1" s="1"/>
  <c r="N659" i="1"/>
  <c r="H659" i="1"/>
  <c r="S654" i="1"/>
  <c r="O654" i="1"/>
  <c r="M654" i="1"/>
  <c r="L654" i="1"/>
  <c r="K654" i="1"/>
  <c r="J654" i="1"/>
  <c r="I654" i="1"/>
  <c r="F654" i="1"/>
  <c r="P652" i="1"/>
  <c r="R652" i="1" s="1"/>
  <c r="N652" i="1"/>
  <c r="H652" i="1"/>
  <c r="P651" i="1"/>
  <c r="R651" i="1" s="1"/>
  <c r="N651" i="1"/>
  <c r="H651" i="1"/>
  <c r="P650" i="1"/>
  <c r="R650" i="1" s="1"/>
  <c r="N650" i="1"/>
  <c r="H650" i="1"/>
  <c r="P649" i="1"/>
  <c r="N649" i="1"/>
  <c r="H649" i="1"/>
  <c r="P648" i="1"/>
  <c r="R648" i="1" s="1"/>
  <c r="N648" i="1"/>
  <c r="H648" i="1"/>
  <c r="P647" i="1"/>
  <c r="R647" i="1" s="1"/>
  <c r="N647" i="1"/>
  <c r="H647" i="1"/>
  <c r="B647" i="1"/>
  <c r="B648" i="1" s="1"/>
  <c r="B649" i="1" s="1"/>
  <c r="B650" i="1" s="1"/>
  <c r="B651" i="1" s="1"/>
  <c r="B652" i="1" s="1"/>
  <c r="P646" i="1"/>
  <c r="R646" i="1" s="1"/>
  <c r="N646" i="1"/>
  <c r="H646" i="1"/>
  <c r="S641" i="1"/>
  <c r="O641" i="1"/>
  <c r="M641" i="1"/>
  <c r="L641" i="1"/>
  <c r="K641" i="1"/>
  <c r="J641" i="1"/>
  <c r="I641" i="1"/>
  <c r="F641" i="1"/>
  <c r="R639" i="1"/>
  <c r="N639" i="1"/>
  <c r="H639" i="1"/>
  <c r="R638" i="1"/>
  <c r="N638" i="1"/>
  <c r="H638" i="1"/>
  <c r="R637" i="1"/>
  <c r="N637" i="1"/>
  <c r="H637" i="1"/>
  <c r="R636" i="1"/>
  <c r="N636" i="1"/>
  <c r="H636" i="1"/>
  <c r="P635" i="1"/>
  <c r="N635" i="1"/>
  <c r="H635" i="1"/>
  <c r="P634" i="1"/>
  <c r="R634" i="1" s="1"/>
  <c r="N634" i="1"/>
  <c r="H634" i="1"/>
  <c r="P633" i="1"/>
  <c r="N633" i="1"/>
  <c r="H633" i="1"/>
  <c r="R632" i="1"/>
  <c r="N632" i="1"/>
  <c r="H632" i="1"/>
  <c r="R631" i="1"/>
  <c r="N631" i="1"/>
  <c r="H631" i="1"/>
  <c r="B631" i="1"/>
  <c r="B632" i="1" s="1"/>
  <c r="B633" i="1" s="1"/>
  <c r="B634" i="1" s="1"/>
  <c r="B635" i="1" s="1"/>
  <c r="B636" i="1" s="1"/>
  <c r="B637" i="1" s="1"/>
  <c r="B638" i="1" s="1"/>
  <c r="B639" i="1" s="1"/>
  <c r="R630" i="1"/>
  <c r="N630" i="1"/>
  <c r="H630" i="1"/>
  <c r="S625" i="1"/>
  <c r="O625" i="1"/>
  <c r="M625" i="1"/>
  <c r="L625" i="1"/>
  <c r="K625" i="1"/>
  <c r="J625" i="1"/>
  <c r="F625" i="1"/>
  <c r="P623" i="1"/>
  <c r="R623" i="1" s="1"/>
  <c r="N623" i="1"/>
  <c r="H623" i="1"/>
  <c r="P622" i="1"/>
  <c r="N622" i="1"/>
  <c r="H622" i="1"/>
  <c r="R621" i="1"/>
  <c r="N621" i="1"/>
  <c r="H621" i="1"/>
  <c r="B621" i="1"/>
  <c r="B622" i="1" s="1"/>
  <c r="R620" i="1"/>
  <c r="N620" i="1"/>
  <c r="I620" i="1"/>
  <c r="I625" i="1" s="1"/>
  <c r="H620" i="1"/>
  <c r="S615" i="1"/>
  <c r="O615" i="1"/>
  <c r="M615" i="1"/>
  <c r="L615" i="1"/>
  <c r="K615" i="1"/>
  <c r="J615" i="1"/>
  <c r="I615" i="1"/>
  <c r="F615" i="1"/>
  <c r="P613" i="1"/>
  <c r="R613" i="1" s="1"/>
  <c r="N613" i="1"/>
  <c r="H613" i="1"/>
  <c r="R612" i="1"/>
  <c r="N612" i="1"/>
  <c r="H612" i="1"/>
  <c r="R611" i="1"/>
  <c r="N611" i="1"/>
  <c r="H611" i="1"/>
  <c r="P610" i="1"/>
  <c r="R610" i="1" s="1"/>
  <c r="N610" i="1"/>
  <c r="H610" i="1"/>
  <c r="P609" i="1"/>
  <c r="N609" i="1"/>
  <c r="H609" i="1"/>
  <c r="R608" i="1"/>
  <c r="N608" i="1"/>
  <c r="H608" i="1"/>
  <c r="R607" i="1"/>
  <c r="N607" i="1"/>
  <c r="H607" i="1"/>
  <c r="B607" i="1"/>
  <c r="B608" i="1" s="1"/>
  <c r="B609" i="1" s="1"/>
  <c r="B610" i="1" s="1"/>
  <c r="B611" i="1" s="1"/>
  <c r="B612" i="1" s="1"/>
  <c r="B613" i="1" s="1"/>
  <c r="R606" i="1"/>
  <c r="N606" i="1"/>
  <c r="H606" i="1"/>
  <c r="S601" i="1"/>
  <c r="O601" i="1"/>
  <c r="M601" i="1"/>
  <c r="L601" i="1"/>
  <c r="K601" i="1"/>
  <c r="J601" i="1"/>
  <c r="I601" i="1"/>
  <c r="F601" i="1"/>
  <c r="R599" i="1"/>
  <c r="N599" i="1"/>
  <c r="H599" i="1"/>
  <c r="R598" i="1"/>
  <c r="N598" i="1"/>
  <c r="H598" i="1"/>
  <c r="B598" i="1"/>
  <c r="B599" i="1" s="1"/>
  <c r="R597" i="1"/>
  <c r="N597" i="1"/>
  <c r="H597" i="1"/>
  <c r="P594" i="1"/>
  <c r="R594" i="1" s="1"/>
  <c r="N594" i="1"/>
  <c r="H594" i="1"/>
  <c r="R593" i="1"/>
  <c r="N593" i="1"/>
  <c r="H593" i="1"/>
  <c r="R592" i="1"/>
  <c r="N592" i="1"/>
  <c r="H592" i="1"/>
  <c r="P591" i="1"/>
  <c r="R591" i="1" s="1"/>
  <c r="N591" i="1"/>
  <c r="H591" i="1"/>
  <c r="P590" i="1"/>
  <c r="N590" i="1"/>
  <c r="H590" i="1"/>
  <c r="P589" i="1"/>
  <c r="R589" i="1" s="1"/>
  <c r="N589" i="1"/>
  <c r="H589" i="1"/>
  <c r="B589" i="1"/>
  <c r="P588" i="1"/>
  <c r="R588" i="1" s="1"/>
  <c r="N588" i="1"/>
  <c r="H588" i="1"/>
  <c r="S583" i="1"/>
  <c r="O583" i="1"/>
  <c r="M583" i="1"/>
  <c r="L583" i="1"/>
  <c r="K583" i="1"/>
  <c r="J583" i="1"/>
  <c r="I583" i="1"/>
  <c r="F583" i="1"/>
  <c r="P581" i="1"/>
  <c r="R581" i="1" s="1"/>
  <c r="N581" i="1"/>
  <c r="H581" i="1"/>
  <c r="R580" i="1"/>
  <c r="N580" i="1"/>
  <c r="H580" i="1"/>
  <c r="P579" i="1"/>
  <c r="R579" i="1" s="1"/>
  <c r="N579" i="1"/>
  <c r="H579" i="1"/>
  <c r="P578" i="1"/>
  <c r="N578" i="1"/>
  <c r="H578" i="1"/>
  <c r="P577" i="1"/>
  <c r="R577" i="1" s="1"/>
  <c r="N577" i="1"/>
  <c r="H577" i="1"/>
  <c r="P576" i="1"/>
  <c r="N576" i="1"/>
  <c r="H576" i="1"/>
  <c r="P575" i="1"/>
  <c r="R575" i="1" s="1"/>
  <c r="N575" i="1"/>
  <c r="H575" i="1"/>
  <c r="P574" i="1"/>
  <c r="N574" i="1"/>
  <c r="H574" i="1"/>
  <c r="R573" i="1"/>
  <c r="N573" i="1"/>
  <c r="H573" i="1"/>
  <c r="R572" i="1"/>
  <c r="N572" i="1"/>
  <c r="H572" i="1"/>
  <c r="P571" i="1"/>
  <c r="N571" i="1"/>
  <c r="H571" i="1"/>
  <c r="B571" i="1"/>
  <c r="P570" i="1"/>
  <c r="R570" i="1" s="1"/>
  <c r="N570" i="1"/>
  <c r="H570" i="1"/>
  <c r="S565" i="1"/>
  <c r="O565" i="1"/>
  <c r="M565" i="1"/>
  <c r="L565" i="1"/>
  <c r="K565" i="1"/>
  <c r="J565" i="1"/>
  <c r="I565" i="1"/>
  <c r="F565" i="1"/>
  <c r="R563" i="1"/>
  <c r="N563" i="1"/>
  <c r="H563" i="1"/>
  <c r="R562" i="1"/>
  <c r="N562" i="1"/>
  <c r="H562" i="1"/>
  <c r="B562" i="1"/>
  <c r="B563" i="1" s="1"/>
  <c r="R561" i="1"/>
  <c r="N561" i="1"/>
  <c r="H561" i="1"/>
  <c r="R558" i="1"/>
  <c r="N558" i="1"/>
  <c r="H558" i="1"/>
  <c r="P557" i="1"/>
  <c r="R557" i="1" s="1"/>
  <c r="N557" i="1"/>
  <c r="H557" i="1"/>
  <c r="R556" i="1"/>
  <c r="N556" i="1"/>
  <c r="H556" i="1"/>
  <c r="P555" i="1"/>
  <c r="N555" i="1"/>
  <c r="H555" i="1"/>
  <c r="P554" i="1"/>
  <c r="N554" i="1"/>
  <c r="H554" i="1"/>
  <c r="R553" i="1"/>
  <c r="N553" i="1"/>
  <c r="H553" i="1"/>
  <c r="R552" i="1"/>
  <c r="N552" i="1"/>
  <c r="H552" i="1"/>
  <c r="R551" i="1"/>
  <c r="N551" i="1"/>
  <c r="H551" i="1"/>
  <c r="P550" i="1"/>
  <c r="R550" i="1" s="1"/>
  <c r="N550" i="1"/>
  <c r="H550" i="1"/>
  <c r="P549" i="1"/>
  <c r="R549" i="1" s="1"/>
  <c r="N549" i="1"/>
  <c r="H549" i="1"/>
  <c r="P548" i="1"/>
  <c r="N548" i="1"/>
  <c r="H548" i="1"/>
  <c r="R547" i="1"/>
  <c r="N547" i="1"/>
  <c r="H547" i="1"/>
  <c r="B547" i="1"/>
  <c r="R546" i="1"/>
  <c r="N546" i="1"/>
  <c r="H546" i="1"/>
  <c r="S541" i="1"/>
  <c r="O541" i="1"/>
  <c r="M541" i="1"/>
  <c r="L541" i="1"/>
  <c r="K541" i="1"/>
  <c r="J541" i="1"/>
  <c r="I541" i="1"/>
  <c r="F541" i="1"/>
  <c r="P539" i="1"/>
  <c r="N539" i="1"/>
  <c r="H539" i="1"/>
  <c r="P538" i="1"/>
  <c r="R538" i="1" s="1"/>
  <c r="N538" i="1"/>
  <c r="H538" i="1"/>
  <c r="P537" i="1"/>
  <c r="R537" i="1" s="1"/>
  <c r="N537" i="1"/>
  <c r="H537" i="1"/>
  <c r="B537" i="1"/>
  <c r="B538" i="1" s="1"/>
  <c r="P536" i="1"/>
  <c r="R536" i="1" s="1"/>
  <c r="N536" i="1"/>
  <c r="H536" i="1"/>
  <c r="S531" i="1"/>
  <c r="O531" i="1"/>
  <c r="M531" i="1"/>
  <c r="L531" i="1"/>
  <c r="K531" i="1"/>
  <c r="J531" i="1"/>
  <c r="I531" i="1"/>
  <c r="F531" i="1"/>
  <c r="R529" i="1"/>
  <c r="N529" i="1"/>
  <c r="H529" i="1"/>
  <c r="R528" i="1"/>
  <c r="N528" i="1"/>
  <c r="H528" i="1"/>
  <c r="P527" i="1"/>
  <c r="N527" i="1"/>
  <c r="H527" i="1"/>
  <c r="P526" i="1"/>
  <c r="R526" i="1" s="1"/>
  <c r="N526" i="1"/>
  <c r="H526" i="1"/>
  <c r="P525" i="1"/>
  <c r="N525" i="1"/>
  <c r="H525" i="1"/>
  <c r="P524" i="1"/>
  <c r="R524" i="1" s="1"/>
  <c r="N524" i="1"/>
  <c r="H524" i="1"/>
  <c r="P523" i="1"/>
  <c r="N523" i="1"/>
  <c r="H523" i="1"/>
  <c r="B523" i="1"/>
  <c r="P522" i="1"/>
  <c r="N522" i="1"/>
  <c r="H522" i="1"/>
  <c r="S517" i="1"/>
  <c r="O517" i="1"/>
  <c r="M517" i="1"/>
  <c r="L517" i="1"/>
  <c r="K517" i="1"/>
  <c r="J517" i="1"/>
  <c r="I517" i="1"/>
  <c r="F517" i="1"/>
  <c r="R515" i="1"/>
  <c r="N515" i="1"/>
  <c r="H515" i="1"/>
  <c r="R514" i="1"/>
  <c r="N514" i="1"/>
  <c r="H514" i="1"/>
  <c r="B514" i="1"/>
  <c r="B515" i="1" s="1"/>
  <c r="R513" i="1"/>
  <c r="N513" i="1"/>
  <c r="H513" i="1"/>
  <c r="R510" i="1"/>
  <c r="N510" i="1"/>
  <c r="H510" i="1"/>
  <c r="P509" i="1"/>
  <c r="R509" i="1" s="1"/>
  <c r="N509" i="1"/>
  <c r="H509" i="1"/>
  <c r="P508" i="1"/>
  <c r="R508" i="1" s="1"/>
  <c r="N508" i="1"/>
  <c r="H508" i="1"/>
  <c r="R507" i="1"/>
  <c r="P507" i="1"/>
  <c r="N507" i="1"/>
  <c r="H507" i="1"/>
  <c r="P506" i="1"/>
  <c r="R506" i="1" s="1"/>
  <c r="N506" i="1"/>
  <c r="H506" i="1"/>
  <c r="P505" i="1"/>
  <c r="N505" i="1"/>
  <c r="H505" i="1"/>
  <c r="P504" i="1"/>
  <c r="R504" i="1" s="1"/>
  <c r="N504" i="1"/>
  <c r="H504" i="1"/>
  <c r="R503" i="1"/>
  <c r="N503" i="1"/>
  <c r="H503" i="1"/>
  <c r="P502" i="1"/>
  <c r="R502" i="1" s="1"/>
  <c r="N502" i="1"/>
  <c r="H502" i="1"/>
  <c r="R501" i="1"/>
  <c r="N501" i="1"/>
  <c r="H501" i="1"/>
  <c r="P500" i="1"/>
  <c r="N500" i="1"/>
  <c r="H500" i="1"/>
  <c r="R499" i="1"/>
  <c r="N499" i="1"/>
  <c r="H499" i="1"/>
  <c r="R498" i="1"/>
  <c r="N498" i="1"/>
  <c r="H498" i="1"/>
  <c r="P497" i="1"/>
  <c r="R497" i="1" s="1"/>
  <c r="N497" i="1"/>
  <c r="H497" i="1"/>
  <c r="P496" i="1"/>
  <c r="R496" i="1" s="1"/>
  <c r="N496" i="1"/>
  <c r="H496" i="1"/>
  <c r="B496" i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P495" i="1"/>
  <c r="R495" i="1" s="1"/>
  <c r="N495" i="1"/>
  <c r="H495" i="1"/>
  <c r="S490" i="1"/>
  <c r="O490" i="1"/>
  <c r="M490" i="1"/>
  <c r="L490" i="1"/>
  <c r="K490" i="1"/>
  <c r="J490" i="1"/>
  <c r="I490" i="1"/>
  <c r="F490" i="1"/>
  <c r="P488" i="1"/>
  <c r="R488" i="1" s="1"/>
  <c r="N488" i="1"/>
  <c r="H488" i="1"/>
  <c r="P487" i="1"/>
  <c r="N487" i="1"/>
  <c r="H487" i="1"/>
  <c r="R486" i="1"/>
  <c r="N486" i="1"/>
  <c r="H486" i="1"/>
  <c r="B486" i="1"/>
  <c r="P485" i="1"/>
  <c r="R485" i="1" s="1"/>
  <c r="N485" i="1"/>
  <c r="H485" i="1"/>
  <c r="S480" i="1"/>
  <c r="O480" i="1"/>
  <c r="M480" i="1"/>
  <c r="L480" i="1"/>
  <c r="K480" i="1"/>
  <c r="J480" i="1"/>
  <c r="I480" i="1"/>
  <c r="F480" i="1"/>
  <c r="R478" i="1"/>
  <c r="N478" i="1"/>
  <c r="H478" i="1"/>
  <c r="P477" i="1"/>
  <c r="R477" i="1" s="1"/>
  <c r="N477" i="1"/>
  <c r="H477" i="1"/>
  <c r="B477" i="1"/>
  <c r="P476" i="1"/>
  <c r="R476" i="1" s="1"/>
  <c r="N476" i="1"/>
  <c r="H476" i="1"/>
  <c r="S471" i="1"/>
  <c r="O471" i="1"/>
  <c r="M471" i="1"/>
  <c r="L471" i="1"/>
  <c r="K471" i="1"/>
  <c r="J471" i="1"/>
  <c r="I471" i="1"/>
  <c r="F471" i="1"/>
  <c r="R469" i="1"/>
  <c r="N469" i="1"/>
  <c r="H469" i="1"/>
  <c r="B469" i="1"/>
  <c r="R468" i="1"/>
  <c r="N468" i="1"/>
  <c r="H468" i="1"/>
  <c r="P464" i="1"/>
  <c r="R464" i="1" s="1"/>
  <c r="N464" i="1"/>
  <c r="H464" i="1"/>
  <c r="R463" i="1"/>
  <c r="N463" i="1"/>
  <c r="H463" i="1"/>
  <c r="R462" i="1"/>
  <c r="N462" i="1"/>
  <c r="H462" i="1"/>
  <c r="P461" i="1"/>
  <c r="R461" i="1" s="1"/>
  <c r="N461" i="1"/>
  <c r="H461" i="1"/>
  <c r="P460" i="1"/>
  <c r="N460" i="1"/>
  <c r="H460" i="1"/>
  <c r="P459" i="1"/>
  <c r="R459" i="1" s="1"/>
  <c r="N459" i="1"/>
  <c r="H459" i="1"/>
  <c r="R458" i="1"/>
  <c r="N458" i="1"/>
  <c r="H458" i="1"/>
  <c r="P457" i="1"/>
  <c r="R457" i="1" s="1"/>
  <c r="N457" i="1"/>
  <c r="H457" i="1"/>
  <c r="R456" i="1"/>
  <c r="N456" i="1"/>
  <c r="H456" i="1"/>
  <c r="P455" i="1"/>
  <c r="R455" i="1" s="1"/>
  <c r="N455" i="1"/>
  <c r="H455" i="1"/>
  <c r="R454" i="1"/>
  <c r="N454" i="1"/>
  <c r="H454" i="1"/>
  <c r="P453" i="1"/>
  <c r="R453" i="1" s="1"/>
  <c r="N453" i="1"/>
  <c r="H453" i="1"/>
  <c r="P452" i="1"/>
  <c r="R452" i="1" s="1"/>
  <c r="N452" i="1"/>
  <c r="H452" i="1"/>
  <c r="R451" i="1"/>
  <c r="N451" i="1"/>
  <c r="H451" i="1"/>
  <c r="P450" i="1"/>
  <c r="R450" i="1" s="1"/>
  <c r="N450" i="1"/>
  <c r="H450" i="1"/>
  <c r="R449" i="1"/>
  <c r="N449" i="1"/>
  <c r="H449" i="1"/>
  <c r="P448" i="1"/>
  <c r="R448" i="1" s="1"/>
  <c r="N448" i="1"/>
  <c r="H448" i="1"/>
  <c r="P447" i="1"/>
  <c r="R447" i="1" s="1"/>
  <c r="N447" i="1"/>
  <c r="H447" i="1"/>
  <c r="B447" i="1"/>
  <c r="P446" i="1"/>
  <c r="R446" i="1" s="1"/>
  <c r="N446" i="1"/>
  <c r="H446" i="1"/>
  <c r="S441" i="1"/>
  <c r="O441" i="1"/>
  <c r="M441" i="1"/>
  <c r="L441" i="1"/>
  <c r="K441" i="1"/>
  <c r="J441" i="1"/>
  <c r="I441" i="1"/>
  <c r="F441" i="1"/>
  <c r="R439" i="1"/>
  <c r="N439" i="1"/>
  <c r="H439" i="1"/>
  <c r="R438" i="1"/>
  <c r="N438" i="1"/>
  <c r="H438" i="1"/>
  <c r="R437" i="1"/>
  <c r="N437" i="1"/>
  <c r="H437" i="1"/>
  <c r="R432" i="1"/>
  <c r="N432" i="1"/>
  <c r="H432" i="1"/>
  <c r="P431" i="1"/>
  <c r="N431" i="1"/>
  <c r="H431" i="1"/>
  <c r="R430" i="1"/>
  <c r="N430" i="1"/>
  <c r="H430" i="1"/>
  <c r="P429" i="1"/>
  <c r="R429" i="1" s="1"/>
  <c r="N429" i="1"/>
  <c r="H429" i="1"/>
  <c r="P428" i="1"/>
  <c r="N428" i="1"/>
  <c r="H428" i="1"/>
  <c r="R427" i="1"/>
  <c r="N427" i="1"/>
  <c r="H427" i="1"/>
  <c r="R426" i="1"/>
  <c r="N426" i="1"/>
  <c r="H426" i="1"/>
  <c r="P425" i="1"/>
  <c r="N425" i="1"/>
  <c r="H425" i="1"/>
  <c r="R424" i="1"/>
  <c r="N424" i="1"/>
  <c r="H424" i="1"/>
  <c r="P423" i="1"/>
  <c r="N423" i="1"/>
  <c r="H423" i="1"/>
  <c r="P422" i="1"/>
  <c r="N422" i="1"/>
  <c r="H422" i="1"/>
  <c r="P421" i="1"/>
  <c r="N421" i="1"/>
  <c r="H421" i="1"/>
  <c r="R420" i="1"/>
  <c r="N420" i="1"/>
  <c r="H420" i="1"/>
  <c r="P419" i="1"/>
  <c r="R419" i="1" s="1"/>
  <c r="N419" i="1"/>
  <c r="H419" i="1"/>
  <c r="P418" i="1"/>
  <c r="R418" i="1" s="1"/>
  <c r="N418" i="1"/>
  <c r="H418" i="1"/>
  <c r="R417" i="1"/>
  <c r="N417" i="1"/>
  <c r="H417" i="1"/>
  <c r="R416" i="1"/>
  <c r="N416" i="1"/>
  <c r="H416" i="1"/>
  <c r="P415" i="1"/>
  <c r="N415" i="1"/>
  <c r="H415" i="1"/>
  <c r="P414" i="1"/>
  <c r="R414" i="1" s="1"/>
  <c r="N414" i="1"/>
  <c r="H414" i="1"/>
  <c r="P413" i="1"/>
  <c r="R413" i="1" s="1"/>
  <c r="N413" i="1"/>
  <c r="H413" i="1"/>
  <c r="R412" i="1"/>
  <c r="N412" i="1"/>
  <c r="H412" i="1"/>
  <c r="R411" i="1"/>
  <c r="N411" i="1"/>
  <c r="H411" i="1"/>
  <c r="P410" i="1"/>
  <c r="N410" i="1"/>
  <c r="H410" i="1"/>
  <c r="R409" i="1"/>
  <c r="N409" i="1"/>
  <c r="H409" i="1"/>
  <c r="R408" i="1"/>
  <c r="N408" i="1"/>
  <c r="H408" i="1"/>
  <c r="P407" i="1"/>
  <c r="R407" i="1" s="1"/>
  <c r="N407" i="1"/>
  <c r="H407" i="1"/>
  <c r="R406" i="1"/>
  <c r="N406" i="1"/>
  <c r="H406" i="1"/>
  <c r="P405" i="1"/>
  <c r="R405" i="1" s="1"/>
  <c r="N405" i="1"/>
  <c r="H405" i="1"/>
  <c r="B405" i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7" i="1" s="1"/>
  <c r="B438" i="1" s="1"/>
  <c r="B439" i="1" s="1"/>
  <c r="P404" i="1"/>
  <c r="N404" i="1"/>
  <c r="H404" i="1"/>
  <c r="S399" i="1"/>
  <c r="O399" i="1"/>
  <c r="M399" i="1"/>
  <c r="L399" i="1"/>
  <c r="K399" i="1"/>
  <c r="J399" i="1"/>
  <c r="I399" i="1"/>
  <c r="F399" i="1"/>
  <c r="R398" i="1"/>
  <c r="N398" i="1"/>
  <c r="H398" i="1"/>
  <c r="R394" i="1"/>
  <c r="N394" i="1"/>
  <c r="H394" i="1"/>
  <c r="B394" i="1"/>
  <c r="B399" i="1" s="1"/>
  <c r="R393" i="1"/>
  <c r="N393" i="1"/>
  <c r="H393" i="1"/>
  <c r="S388" i="1"/>
  <c r="O388" i="1"/>
  <c r="M388" i="1"/>
  <c r="L388" i="1"/>
  <c r="K388" i="1"/>
  <c r="J388" i="1"/>
  <c r="I388" i="1"/>
  <c r="F388" i="1"/>
  <c r="R386" i="1"/>
  <c r="N386" i="1"/>
  <c r="H386" i="1"/>
  <c r="R385" i="1"/>
  <c r="N385" i="1"/>
  <c r="H385" i="1"/>
  <c r="B385" i="1"/>
  <c r="B386" i="1" s="1"/>
  <c r="R384" i="1"/>
  <c r="N384" i="1"/>
  <c r="H384" i="1"/>
  <c r="R381" i="1"/>
  <c r="N381" i="1"/>
  <c r="H381" i="1"/>
  <c r="R380" i="1"/>
  <c r="N380" i="1"/>
  <c r="H380" i="1"/>
  <c r="P379" i="1"/>
  <c r="N379" i="1"/>
  <c r="H379" i="1"/>
  <c r="R378" i="1"/>
  <c r="N378" i="1"/>
  <c r="H378" i="1"/>
  <c r="R377" i="1"/>
  <c r="N377" i="1"/>
  <c r="H377" i="1"/>
  <c r="R376" i="1"/>
  <c r="N376" i="1"/>
  <c r="H376" i="1"/>
  <c r="R375" i="1"/>
  <c r="N375" i="1"/>
  <c r="H375" i="1"/>
  <c r="B375" i="1"/>
  <c r="R374" i="1"/>
  <c r="N374" i="1"/>
  <c r="H374" i="1"/>
  <c r="S369" i="1"/>
  <c r="O369" i="1"/>
  <c r="M369" i="1"/>
  <c r="L369" i="1"/>
  <c r="K369" i="1"/>
  <c r="J369" i="1"/>
  <c r="I369" i="1"/>
  <c r="F369" i="1"/>
  <c r="B369" i="1"/>
  <c r="R367" i="1"/>
  <c r="N367" i="1"/>
  <c r="H367" i="1"/>
  <c r="P364" i="1"/>
  <c r="N364" i="1"/>
  <c r="H364" i="1"/>
  <c r="S359" i="1"/>
  <c r="O359" i="1"/>
  <c r="M359" i="1"/>
  <c r="L359" i="1"/>
  <c r="K359" i="1"/>
  <c r="J359" i="1"/>
  <c r="I359" i="1"/>
  <c r="F359" i="1"/>
  <c r="R357" i="1"/>
  <c r="N357" i="1"/>
  <c r="H357" i="1"/>
  <c r="R356" i="1"/>
  <c r="N356" i="1"/>
  <c r="H356" i="1"/>
  <c r="R355" i="1"/>
  <c r="N355" i="1"/>
  <c r="H355" i="1"/>
  <c r="R354" i="1"/>
  <c r="N354" i="1"/>
  <c r="H354" i="1"/>
  <c r="R353" i="1"/>
  <c r="N353" i="1"/>
  <c r="H353" i="1"/>
  <c r="R352" i="1"/>
  <c r="N352" i="1"/>
  <c r="H352" i="1"/>
  <c r="R351" i="1"/>
  <c r="N351" i="1"/>
  <c r="H351" i="1"/>
  <c r="R350" i="1"/>
  <c r="N350" i="1"/>
  <c r="H350" i="1"/>
  <c r="R349" i="1"/>
  <c r="N349" i="1"/>
  <c r="H349" i="1"/>
  <c r="R348" i="1"/>
  <c r="N348" i="1"/>
  <c r="H348" i="1"/>
  <c r="R347" i="1"/>
  <c r="N347" i="1"/>
  <c r="H347" i="1"/>
  <c r="R346" i="1"/>
  <c r="N346" i="1"/>
  <c r="H346" i="1"/>
  <c r="B346" i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R345" i="1"/>
  <c r="N345" i="1"/>
  <c r="H345" i="1"/>
  <c r="Q342" i="1"/>
  <c r="R342" i="1" s="1"/>
  <c r="N342" i="1"/>
  <c r="H342" i="1"/>
  <c r="R341" i="1"/>
  <c r="N341" i="1"/>
  <c r="H341" i="1"/>
  <c r="Q340" i="1"/>
  <c r="N340" i="1"/>
  <c r="H340" i="1"/>
  <c r="R339" i="1"/>
  <c r="N339" i="1"/>
  <c r="H339" i="1"/>
  <c r="P338" i="1"/>
  <c r="R338" i="1" s="1"/>
  <c r="N338" i="1"/>
  <c r="H338" i="1"/>
  <c r="P337" i="1"/>
  <c r="R337" i="1" s="1"/>
  <c r="N337" i="1"/>
  <c r="H337" i="1"/>
  <c r="R336" i="1"/>
  <c r="N336" i="1"/>
  <c r="H336" i="1"/>
  <c r="P335" i="1"/>
  <c r="N335" i="1"/>
  <c r="H335" i="1"/>
  <c r="R334" i="1"/>
  <c r="P334" i="1"/>
  <c r="N334" i="1"/>
  <c r="H334" i="1"/>
  <c r="R333" i="1"/>
  <c r="N333" i="1"/>
  <c r="H333" i="1"/>
  <c r="R332" i="1"/>
  <c r="N332" i="1"/>
  <c r="H332" i="1"/>
  <c r="P331" i="1"/>
  <c r="N331" i="1"/>
  <c r="H331" i="1"/>
  <c r="P330" i="1"/>
  <c r="N330" i="1"/>
  <c r="H330" i="1"/>
  <c r="R329" i="1"/>
  <c r="N329" i="1"/>
  <c r="H329" i="1"/>
  <c r="R328" i="1"/>
  <c r="N328" i="1"/>
  <c r="H328" i="1"/>
  <c r="P327" i="1"/>
  <c r="N327" i="1"/>
  <c r="H327" i="1"/>
  <c r="R326" i="1"/>
  <c r="N326" i="1"/>
  <c r="H326" i="1"/>
  <c r="R325" i="1"/>
  <c r="N325" i="1"/>
  <c r="H325" i="1"/>
  <c r="Q324" i="1"/>
  <c r="P324" i="1"/>
  <c r="N324" i="1"/>
  <c r="H324" i="1"/>
  <c r="R323" i="1"/>
  <c r="N323" i="1"/>
  <c r="H323" i="1"/>
  <c r="R322" i="1"/>
  <c r="N322" i="1"/>
  <c r="H322" i="1"/>
  <c r="R321" i="1"/>
  <c r="N321" i="1"/>
  <c r="H321" i="1"/>
  <c r="R320" i="1"/>
  <c r="N320" i="1"/>
  <c r="H320" i="1"/>
  <c r="R319" i="1"/>
  <c r="N319" i="1"/>
  <c r="H319" i="1"/>
  <c r="P318" i="1"/>
  <c r="N318" i="1"/>
  <c r="H318" i="1"/>
  <c r="P317" i="1"/>
  <c r="R317" i="1" s="1"/>
  <c r="N317" i="1"/>
  <c r="H317" i="1"/>
  <c r="R316" i="1"/>
  <c r="N316" i="1"/>
  <c r="H316" i="1"/>
  <c r="R315" i="1"/>
  <c r="N315" i="1"/>
  <c r="H315" i="1"/>
  <c r="P314" i="1"/>
  <c r="R314" i="1" s="1"/>
  <c r="N314" i="1"/>
  <c r="H314" i="1"/>
  <c r="P313" i="1"/>
  <c r="R313" i="1" s="1"/>
  <c r="N313" i="1"/>
  <c r="H313" i="1"/>
  <c r="R312" i="1"/>
  <c r="N312" i="1"/>
  <c r="H312" i="1"/>
  <c r="P311" i="1"/>
  <c r="R311" i="1" s="1"/>
  <c r="N311" i="1"/>
  <c r="H311" i="1"/>
  <c r="R310" i="1"/>
  <c r="N310" i="1"/>
  <c r="H310" i="1"/>
  <c r="P309" i="1"/>
  <c r="R309" i="1" s="1"/>
  <c r="N309" i="1"/>
  <c r="H309" i="1"/>
  <c r="P308" i="1"/>
  <c r="R308" i="1" s="1"/>
  <c r="N308" i="1"/>
  <c r="H308" i="1"/>
  <c r="R307" i="1"/>
  <c r="N307" i="1"/>
  <c r="H307" i="1"/>
  <c r="B307" i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R306" i="1"/>
  <c r="N306" i="1"/>
  <c r="H306" i="1"/>
  <c r="R305" i="1"/>
  <c r="N305" i="1"/>
  <c r="H305" i="1"/>
  <c r="B305" i="1"/>
  <c r="B306" i="1" s="1"/>
  <c r="P304" i="1"/>
  <c r="R304" i="1" s="1"/>
  <c r="N304" i="1"/>
  <c r="H304" i="1"/>
  <c r="S299" i="1"/>
  <c r="O299" i="1"/>
  <c r="M299" i="1"/>
  <c r="L299" i="1"/>
  <c r="K299" i="1"/>
  <c r="J299" i="1"/>
  <c r="I299" i="1"/>
  <c r="F299" i="1"/>
  <c r="R297" i="1"/>
  <c r="N297" i="1"/>
  <c r="H297" i="1"/>
  <c r="R296" i="1"/>
  <c r="N296" i="1"/>
  <c r="H296" i="1"/>
  <c r="R295" i="1"/>
  <c r="N295" i="1"/>
  <c r="H295" i="1"/>
  <c r="R294" i="1"/>
  <c r="N294" i="1"/>
  <c r="H294" i="1"/>
  <c r="R293" i="1"/>
  <c r="N293" i="1"/>
  <c r="H293" i="1"/>
  <c r="B293" i="1"/>
  <c r="B294" i="1" s="1"/>
  <c r="B295" i="1" s="1"/>
  <c r="B296" i="1" s="1"/>
  <c r="B297" i="1" s="1"/>
  <c r="R292" i="1"/>
  <c r="N292" i="1"/>
  <c r="H292" i="1"/>
  <c r="R289" i="1"/>
  <c r="N289" i="1"/>
  <c r="H289" i="1"/>
  <c r="R288" i="1"/>
  <c r="N288" i="1"/>
  <c r="H288" i="1"/>
  <c r="P287" i="1"/>
  <c r="N287" i="1"/>
  <c r="H287" i="1"/>
  <c r="P286" i="1"/>
  <c r="R286" i="1" s="1"/>
  <c r="N286" i="1"/>
  <c r="H286" i="1"/>
  <c r="R285" i="1"/>
  <c r="N285" i="1"/>
  <c r="H285" i="1"/>
  <c r="P284" i="1"/>
  <c r="R284" i="1" s="1"/>
  <c r="N284" i="1"/>
  <c r="H284" i="1"/>
  <c r="P283" i="1"/>
  <c r="R283" i="1" s="1"/>
  <c r="N283" i="1"/>
  <c r="H283" i="1"/>
  <c r="B283" i="1"/>
  <c r="R282" i="1"/>
  <c r="N282" i="1"/>
  <c r="H282" i="1"/>
  <c r="S277" i="1"/>
  <c r="O277" i="1"/>
  <c r="M277" i="1"/>
  <c r="L277" i="1"/>
  <c r="K277" i="1"/>
  <c r="J277" i="1"/>
  <c r="I277" i="1"/>
  <c r="F277" i="1"/>
  <c r="R275" i="1"/>
  <c r="N275" i="1"/>
  <c r="H275" i="1"/>
  <c r="R274" i="1"/>
  <c r="N274" i="1"/>
  <c r="H274" i="1"/>
  <c r="R273" i="1"/>
  <c r="N273" i="1"/>
  <c r="H273" i="1"/>
  <c r="R272" i="1"/>
  <c r="N272" i="1"/>
  <c r="H272" i="1"/>
  <c r="R271" i="1"/>
  <c r="N271" i="1"/>
  <c r="H271" i="1"/>
  <c r="R270" i="1"/>
  <c r="N270" i="1"/>
  <c r="H270" i="1"/>
  <c r="R269" i="1"/>
  <c r="N269" i="1"/>
  <c r="H269" i="1"/>
  <c r="R268" i="1"/>
  <c r="N268" i="1"/>
  <c r="H268" i="1"/>
  <c r="R267" i="1"/>
  <c r="N267" i="1"/>
  <c r="H267" i="1"/>
  <c r="R266" i="1"/>
  <c r="N266" i="1"/>
  <c r="H266" i="1"/>
  <c r="R265" i="1"/>
  <c r="N265" i="1"/>
  <c r="H265" i="1"/>
  <c r="R264" i="1"/>
  <c r="N264" i="1"/>
  <c r="H264" i="1"/>
  <c r="R263" i="1"/>
  <c r="N263" i="1"/>
  <c r="H263" i="1"/>
  <c r="R262" i="1"/>
  <c r="N262" i="1"/>
  <c r="H262" i="1"/>
  <c r="R261" i="1"/>
  <c r="N261" i="1"/>
  <c r="H261" i="1"/>
  <c r="R260" i="1"/>
  <c r="N260" i="1"/>
  <c r="H260" i="1"/>
  <c r="R259" i="1"/>
  <c r="N259" i="1"/>
  <c r="H259" i="1"/>
  <c r="R258" i="1"/>
  <c r="N258" i="1"/>
  <c r="H258" i="1"/>
  <c r="R257" i="1"/>
  <c r="N257" i="1"/>
  <c r="H257" i="1"/>
  <c r="R256" i="1"/>
  <c r="N256" i="1"/>
  <c r="H256" i="1"/>
  <c r="R255" i="1"/>
  <c r="N255" i="1"/>
  <c r="H255" i="1"/>
  <c r="R254" i="1"/>
  <c r="N254" i="1"/>
  <c r="H254" i="1"/>
  <c r="B254" i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R253" i="1"/>
  <c r="N253" i="1"/>
  <c r="H253" i="1"/>
  <c r="R250" i="1"/>
  <c r="N250" i="1"/>
  <c r="H250" i="1"/>
  <c r="R249" i="1"/>
  <c r="N249" i="1"/>
  <c r="H249" i="1"/>
  <c r="R248" i="1"/>
  <c r="N248" i="1"/>
  <c r="H248" i="1"/>
  <c r="P247" i="1"/>
  <c r="R247" i="1" s="1"/>
  <c r="N247" i="1"/>
  <c r="H247" i="1"/>
  <c r="R246" i="1"/>
  <c r="N246" i="1"/>
  <c r="H246" i="1"/>
  <c r="R245" i="1"/>
  <c r="N245" i="1"/>
  <c r="H245" i="1"/>
  <c r="P244" i="1"/>
  <c r="R244" i="1" s="1"/>
  <c r="N244" i="1"/>
  <c r="H244" i="1"/>
  <c r="R243" i="1"/>
  <c r="N243" i="1"/>
  <c r="H243" i="1"/>
  <c r="R242" i="1"/>
  <c r="N242" i="1"/>
  <c r="H242" i="1"/>
  <c r="P241" i="1"/>
  <c r="R241" i="1" s="1"/>
  <c r="N241" i="1"/>
  <c r="H241" i="1"/>
  <c r="R240" i="1"/>
  <c r="N240" i="1"/>
  <c r="H240" i="1"/>
  <c r="R239" i="1"/>
  <c r="N239" i="1"/>
  <c r="H239" i="1"/>
  <c r="R238" i="1"/>
  <c r="N238" i="1"/>
  <c r="H238" i="1"/>
  <c r="R237" i="1"/>
  <c r="N237" i="1"/>
  <c r="H237" i="1"/>
  <c r="R236" i="1"/>
  <c r="N236" i="1"/>
  <c r="H236" i="1"/>
  <c r="R235" i="1"/>
  <c r="N235" i="1"/>
  <c r="H235" i="1"/>
  <c r="P234" i="1"/>
  <c r="R234" i="1" s="1"/>
  <c r="N234" i="1"/>
  <c r="H234" i="1"/>
  <c r="R233" i="1"/>
  <c r="N233" i="1"/>
  <c r="H233" i="1"/>
  <c r="P232" i="1"/>
  <c r="R232" i="1" s="1"/>
  <c r="N232" i="1"/>
  <c r="H232" i="1"/>
  <c r="R231" i="1"/>
  <c r="N231" i="1"/>
  <c r="H231" i="1"/>
  <c r="R230" i="1"/>
  <c r="N230" i="1"/>
  <c r="H230" i="1"/>
  <c r="R229" i="1"/>
  <c r="N229" i="1"/>
  <c r="H229" i="1"/>
  <c r="R228" i="1"/>
  <c r="N228" i="1"/>
  <c r="H228" i="1"/>
  <c r="P227" i="1"/>
  <c r="N227" i="1"/>
  <c r="H227" i="1"/>
  <c r="R226" i="1"/>
  <c r="N226" i="1"/>
  <c r="H226" i="1"/>
  <c r="R225" i="1"/>
  <c r="N225" i="1"/>
  <c r="H225" i="1"/>
  <c r="R224" i="1"/>
  <c r="N224" i="1"/>
  <c r="H224" i="1"/>
  <c r="R223" i="1"/>
  <c r="N223" i="1"/>
  <c r="H223" i="1"/>
  <c r="R222" i="1"/>
  <c r="N222" i="1"/>
  <c r="H222" i="1"/>
  <c r="R221" i="1"/>
  <c r="N221" i="1"/>
  <c r="H221" i="1"/>
  <c r="P220" i="1"/>
  <c r="N220" i="1"/>
  <c r="H220" i="1"/>
  <c r="R219" i="1"/>
  <c r="N219" i="1"/>
  <c r="H219" i="1"/>
  <c r="R218" i="1"/>
  <c r="N218" i="1"/>
  <c r="H218" i="1"/>
  <c r="P217" i="1"/>
  <c r="N217" i="1"/>
  <c r="H217" i="1"/>
  <c r="R216" i="1"/>
  <c r="N216" i="1"/>
  <c r="H216" i="1"/>
  <c r="R215" i="1"/>
  <c r="N215" i="1"/>
  <c r="H215" i="1"/>
  <c r="R214" i="1"/>
  <c r="N214" i="1"/>
  <c r="H214" i="1"/>
  <c r="R213" i="1"/>
  <c r="N213" i="1"/>
  <c r="H213" i="1"/>
  <c r="R212" i="1"/>
  <c r="N212" i="1"/>
  <c r="H212" i="1"/>
  <c r="R211" i="1"/>
  <c r="N211" i="1"/>
  <c r="H211" i="1"/>
  <c r="P210" i="1"/>
  <c r="N210" i="1"/>
  <c r="H210" i="1"/>
  <c r="P209" i="1"/>
  <c r="N209" i="1"/>
  <c r="H209" i="1"/>
  <c r="R208" i="1"/>
  <c r="N208" i="1"/>
  <c r="H208" i="1"/>
  <c r="R207" i="1"/>
  <c r="N207" i="1"/>
  <c r="H207" i="1"/>
  <c r="R206" i="1"/>
  <c r="N206" i="1"/>
  <c r="H206" i="1"/>
  <c r="R205" i="1"/>
  <c r="N205" i="1"/>
  <c r="H205" i="1"/>
  <c r="R204" i="1"/>
  <c r="N204" i="1"/>
  <c r="H204" i="1"/>
  <c r="R203" i="1"/>
  <c r="N203" i="1"/>
  <c r="H203" i="1"/>
  <c r="R202" i="1"/>
  <c r="N202" i="1"/>
  <c r="H202" i="1"/>
  <c r="P201" i="1"/>
  <c r="R201" i="1" s="1"/>
  <c r="N201" i="1"/>
  <c r="H201" i="1"/>
  <c r="R200" i="1"/>
  <c r="N200" i="1"/>
  <c r="H200" i="1"/>
  <c r="R199" i="1"/>
  <c r="N199" i="1"/>
  <c r="H199" i="1"/>
  <c r="R198" i="1"/>
  <c r="N198" i="1"/>
  <c r="H198" i="1"/>
  <c r="P197" i="1"/>
  <c r="N197" i="1"/>
  <c r="H197" i="1"/>
  <c r="R196" i="1"/>
  <c r="N196" i="1"/>
  <c r="H196" i="1"/>
  <c r="R195" i="1"/>
  <c r="N195" i="1"/>
  <c r="H195" i="1"/>
  <c r="R194" i="1"/>
  <c r="N194" i="1"/>
  <c r="H194" i="1"/>
  <c r="R193" i="1"/>
  <c r="N193" i="1"/>
  <c r="H193" i="1"/>
  <c r="R192" i="1"/>
  <c r="N192" i="1"/>
  <c r="H192" i="1"/>
  <c r="R191" i="1"/>
  <c r="N191" i="1"/>
  <c r="H191" i="1"/>
  <c r="R190" i="1"/>
  <c r="N190" i="1"/>
  <c r="H190" i="1"/>
  <c r="B190" i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R189" i="1"/>
  <c r="N189" i="1"/>
  <c r="H189" i="1"/>
  <c r="S184" i="1"/>
  <c r="O184" i="1"/>
  <c r="M184" i="1"/>
  <c r="L184" i="1"/>
  <c r="K184" i="1"/>
  <c r="J184" i="1"/>
  <c r="I184" i="1"/>
  <c r="F184" i="1"/>
  <c r="B184" i="1"/>
  <c r="R182" i="1"/>
  <c r="N182" i="1"/>
  <c r="N184" i="1" s="1"/>
  <c r="H182" i="1"/>
  <c r="H184" i="1" s="1"/>
  <c r="S177" i="1"/>
  <c r="O177" i="1"/>
  <c r="M177" i="1"/>
  <c r="L177" i="1"/>
  <c r="K177" i="1"/>
  <c r="J177" i="1"/>
  <c r="I177" i="1"/>
  <c r="F177" i="1"/>
  <c r="R175" i="1"/>
  <c r="N175" i="1"/>
  <c r="H175" i="1"/>
  <c r="R174" i="1"/>
  <c r="N174" i="1"/>
  <c r="H174" i="1"/>
  <c r="R173" i="1"/>
  <c r="N173" i="1"/>
  <c r="H173" i="1"/>
  <c r="R172" i="1"/>
  <c r="N172" i="1"/>
  <c r="H172" i="1"/>
  <c r="R171" i="1"/>
  <c r="N171" i="1"/>
  <c r="H171" i="1"/>
  <c r="R170" i="1"/>
  <c r="N170" i="1"/>
  <c r="H170" i="1"/>
  <c r="B170" i="1"/>
  <c r="B171" i="1" s="1"/>
  <c r="B172" i="1" s="1"/>
  <c r="B173" i="1" s="1"/>
  <c r="B174" i="1" s="1"/>
  <c r="B175" i="1" s="1"/>
  <c r="R169" i="1"/>
  <c r="N169" i="1"/>
  <c r="H169" i="1"/>
  <c r="R166" i="1"/>
  <c r="N166" i="1"/>
  <c r="H166" i="1"/>
  <c r="R165" i="1"/>
  <c r="N165" i="1"/>
  <c r="H165" i="1"/>
  <c r="R164" i="1"/>
  <c r="N164" i="1"/>
  <c r="H164" i="1"/>
  <c r="R163" i="1"/>
  <c r="N163" i="1"/>
  <c r="H163" i="1"/>
  <c r="R162" i="1"/>
  <c r="N162" i="1"/>
  <c r="H162" i="1"/>
  <c r="R161" i="1"/>
  <c r="N161" i="1"/>
  <c r="H161" i="1"/>
  <c r="R160" i="1"/>
  <c r="N160" i="1"/>
  <c r="H160" i="1"/>
  <c r="R159" i="1"/>
  <c r="N159" i="1"/>
  <c r="H159" i="1"/>
  <c r="R158" i="1"/>
  <c r="N158" i="1"/>
  <c r="H158" i="1"/>
  <c r="P157" i="1"/>
  <c r="R157" i="1" s="1"/>
  <c r="N157" i="1"/>
  <c r="H157" i="1"/>
  <c r="Q156" i="1"/>
  <c r="P156" i="1"/>
  <c r="N156" i="1"/>
  <c r="H156" i="1"/>
  <c r="Q155" i="1"/>
  <c r="R155" i="1" s="1"/>
  <c r="N155" i="1"/>
  <c r="H155" i="1"/>
  <c r="R154" i="1"/>
  <c r="N154" i="1"/>
  <c r="H154" i="1"/>
  <c r="R153" i="1"/>
  <c r="N153" i="1"/>
  <c r="H153" i="1"/>
  <c r="R152" i="1"/>
  <c r="N152" i="1"/>
  <c r="H152" i="1"/>
  <c r="R151" i="1"/>
  <c r="N151" i="1"/>
  <c r="H151" i="1"/>
  <c r="P150" i="1"/>
  <c r="R150" i="1" s="1"/>
  <c r="N150" i="1"/>
  <c r="H150" i="1"/>
  <c r="P149" i="1"/>
  <c r="R149" i="1" s="1"/>
  <c r="N149" i="1"/>
  <c r="H149" i="1"/>
  <c r="R148" i="1"/>
  <c r="N148" i="1"/>
  <c r="H148" i="1"/>
  <c r="R147" i="1"/>
  <c r="N147" i="1"/>
  <c r="H147" i="1"/>
  <c r="R146" i="1"/>
  <c r="N146" i="1"/>
  <c r="H146" i="1"/>
  <c r="R145" i="1"/>
  <c r="N145" i="1"/>
  <c r="H145" i="1"/>
  <c r="R144" i="1"/>
  <c r="P144" i="1"/>
  <c r="N144" i="1"/>
  <c r="H144" i="1"/>
  <c r="B144" i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R143" i="1"/>
  <c r="N143" i="1"/>
  <c r="H143" i="1"/>
  <c r="S138" i="1"/>
  <c r="O138" i="1"/>
  <c r="M138" i="1"/>
  <c r="L138" i="1"/>
  <c r="K138" i="1"/>
  <c r="J138" i="1"/>
  <c r="I138" i="1"/>
  <c r="F138" i="1"/>
  <c r="P136" i="1"/>
  <c r="N136" i="1"/>
  <c r="H136" i="1"/>
  <c r="R135" i="1"/>
  <c r="N135" i="1"/>
  <c r="H135" i="1"/>
  <c r="R134" i="1"/>
  <c r="N134" i="1"/>
  <c r="H134" i="1"/>
  <c r="P133" i="1"/>
  <c r="N133" i="1"/>
  <c r="H133" i="1"/>
  <c r="P132" i="1"/>
  <c r="N132" i="1"/>
  <c r="H132" i="1"/>
  <c r="R131" i="1"/>
  <c r="N131" i="1"/>
  <c r="H131" i="1"/>
  <c r="R130" i="1"/>
  <c r="N130" i="1"/>
  <c r="H130" i="1"/>
  <c r="R129" i="1"/>
  <c r="N129" i="1"/>
  <c r="H129" i="1"/>
  <c r="P128" i="1"/>
  <c r="R128" i="1" s="1"/>
  <c r="N128" i="1"/>
  <c r="H128" i="1"/>
  <c r="P127" i="1"/>
  <c r="R127" i="1" s="1"/>
  <c r="N127" i="1"/>
  <c r="H127" i="1"/>
  <c r="P126" i="1"/>
  <c r="R126" i="1" s="1"/>
  <c r="N126" i="1"/>
  <c r="H126" i="1"/>
  <c r="R125" i="1"/>
  <c r="N125" i="1"/>
  <c r="H125" i="1"/>
  <c r="P124" i="1"/>
  <c r="N124" i="1"/>
  <c r="H124" i="1"/>
  <c r="P123" i="1"/>
  <c r="N123" i="1"/>
  <c r="H123" i="1"/>
  <c r="R122" i="1"/>
  <c r="N122" i="1"/>
  <c r="H122" i="1"/>
  <c r="R121" i="1"/>
  <c r="N121" i="1"/>
  <c r="H121" i="1"/>
  <c r="R120" i="1"/>
  <c r="N120" i="1"/>
  <c r="H120" i="1"/>
  <c r="R119" i="1"/>
  <c r="N119" i="1"/>
  <c r="H119" i="1"/>
  <c r="P118" i="1"/>
  <c r="N118" i="1"/>
  <c r="H118" i="1"/>
  <c r="P117" i="1"/>
  <c r="R117" i="1" s="1"/>
  <c r="N117" i="1"/>
  <c r="H117" i="1"/>
  <c r="B117" i="1"/>
  <c r="P116" i="1"/>
  <c r="N116" i="1"/>
  <c r="H116" i="1"/>
  <c r="S111" i="1"/>
  <c r="O111" i="1"/>
  <c r="M111" i="1"/>
  <c r="L111" i="1"/>
  <c r="K111" i="1"/>
  <c r="J111" i="1"/>
  <c r="I111" i="1"/>
  <c r="F111" i="1"/>
  <c r="R109" i="1"/>
  <c r="N109" i="1"/>
  <c r="H109" i="1"/>
  <c r="R108" i="1"/>
  <c r="N108" i="1"/>
  <c r="H108" i="1"/>
  <c r="R107" i="1"/>
  <c r="N107" i="1"/>
  <c r="H107" i="1"/>
  <c r="R106" i="1"/>
  <c r="N106" i="1"/>
  <c r="H106" i="1"/>
  <c r="R105" i="1"/>
  <c r="N105" i="1"/>
  <c r="H105" i="1"/>
  <c r="B105" i="1"/>
  <c r="B106" i="1" s="1"/>
  <c r="B107" i="1" s="1"/>
  <c r="B108" i="1" s="1"/>
  <c r="B109" i="1" s="1"/>
  <c r="R104" i="1"/>
  <c r="N104" i="1"/>
  <c r="H104" i="1"/>
  <c r="R101" i="1"/>
  <c r="N101" i="1"/>
  <c r="H101" i="1"/>
  <c r="R100" i="1"/>
  <c r="N100" i="1"/>
  <c r="H100" i="1"/>
  <c r="R99" i="1"/>
  <c r="N99" i="1"/>
  <c r="H99" i="1"/>
  <c r="R98" i="1"/>
  <c r="N98" i="1"/>
  <c r="H98" i="1"/>
  <c r="R97" i="1"/>
  <c r="N97" i="1"/>
  <c r="H97" i="1"/>
  <c r="P96" i="1"/>
  <c r="N96" i="1"/>
  <c r="H96" i="1"/>
  <c r="R95" i="1"/>
  <c r="N95" i="1"/>
  <c r="H95" i="1"/>
  <c r="P94" i="1"/>
  <c r="R94" i="1" s="1"/>
  <c r="N94" i="1"/>
  <c r="H94" i="1"/>
  <c r="R93" i="1"/>
  <c r="N93" i="1"/>
  <c r="H93" i="1"/>
  <c r="R92" i="1"/>
  <c r="N92" i="1"/>
  <c r="H92" i="1"/>
  <c r="R91" i="1"/>
  <c r="N91" i="1"/>
  <c r="H91" i="1"/>
  <c r="R90" i="1"/>
  <c r="N90" i="1"/>
  <c r="H90" i="1"/>
  <c r="R89" i="1"/>
  <c r="N89" i="1"/>
  <c r="H89" i="1"/>
  <c r="R88" i="1"/>
  <c r="N88" i="1"/>
  <c r="H88" i="1"/>
  <c r="R87" i="1"/>
  <c r="N87" i="1"/>
  <c r="H87" i="1"/>
  <c r="R86" i="1"/>
  <c r="N86" i="1"/>
  <c r="H86" i="1"/>
  <c r="R85" i="1"/>
  <c r="N85" i="1"/>
  <c r="H85" i="1"/>
  <c r="R84" i="1"/>
  <c r="N84" i="1"/>
  <c r="H84" i="1"/>
  <c r="R83" i="1"/>
  <c r="N83" i="1"/>
  <c r="H83" i="1"/>
  <c r="R82" i="1"/>
  <c r="N82" i="1"/>
  <c r="H82" i="1"/>
  <c r="P81" i="1"/>
  <c r="R81" i="1" s="1"/>
  <c r="N81" i="1"/>
  <c r="H81" i="1"/>
  <c r="R80" i="1"/>
  <c r="N80" i="1"/>
  <c r="H80" i="1"/>
  <c r="B80" i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P79" i="1"/>
  <c r="N79" i="1"/>
  <c r="H79" i="1"/>
  <c r="S74" i="1"/>
  <c r="O74" i="1"/>
  <c r="M74" i="1"/>
  <c r="L74" i="1"/>
  <c r="K74" i="1"/>
  <c r="J74" i="1"/>
  <c r="I74" i="1"/>
  <c r="F74" i="1"/>
  <c r="R72" i="1"/>
  <c r="N72" i="1"/>
  <c r="H72" i="1"/>
  <c r="B72" i="1"/>
  <c r="R71" i="1"/>
  <c r="N71" i="1"/>
  <c r="H71" i="1"/>
  <c r="R68" i="1"/>
  <c r="N68" i="1"/>
  <c r="H68" i="1"/>
  <c r="R67" i="1"/>
  <c r="N67" i="1"/>
  <c r="H67" i="1"/>
  <c r="R66" i="1"/>
  <c r="N66" i="1"/>
  <c r="H66" i="1"/>
  <c r="P65" i="1"/>
  <c r="N65" i="1"/>
  <c r="H65" i="1"/>
  <c r="P64" i="1"/>
  <c r="N64" i="1"/>
  <c r="H64" i="1"/>
  <c r="R63" i="1"/>
  <c r="N63" i="1"/>
  <c r="H63" i="1"/>
  <c r="B63" i="1"/>
  <c r="R62" i="1"/>
  <c r="N62" i="1"/>
  <c r="H62" i="1"/>
  <c r="S57" i="1"/>
  <c r="O57" i="1"/>
  <c r="M57" i="1"/>
  <c r="L57" i="1"/>
  <c r="K57" i="1"/>
  <c r="J57" i="1"/>
  <c r="I57" i="1"/>
  <c r="F57" i="1"/>
  <c r="R55" i="1"/>
  <c r="N55" i="1"/>
  <c r="H55" i="1"/>
  <c r="R52" i="1"/>
  <c r="N52" i="1"/>
  <c r="H52" i="1"/>
  <c r="P51" i="1"/>
  <c r="R51" i="1" s="1"/>
  <c r="N51" i="1"/>
  <c r="H51" i="1"/>
  <c r="P50" i="1"/>
  <c r="N50" i="1"/>
  <c r="H50" i="1"/>
  <c r="P49" i="1"/>
  <c r="R49" i="1" s="1"/>
  <c r="N49" i="1"/>
  <c r="H49" i="1"/>
  <c r="R48" i="1"/>
  <c r="N48" i="1"/>
  <c r="H48" i="1"/>
  <c r="P47" i="1"/>
  <c r="N47" i="1"/>
  <c r="H47" i="1"/>
  <c r="R46" i="1"/>
  <c r="N46" i="1"/>
  <c r="H46" i="1"/>
  <c r="P45" i="1"/>
  <c r="R45" i="1" s="1"/>
  <c r="N45" i="1"/>
  <c r="H45" i="1"/>
  <c r="P44" i="1"/>
  <c r="R44" i="1" s="1"/>
  <c r="N44" i="1"/>
  <c r="H44" i="1"/>
  <c r="P43" i="1"/>
  <c r="R43" i="1" s="1"/>
  <c r="N43" i="1"/>
  <c r="H43" i="1"/>
  <c r="R42" i="1"/>
  <c r="N42" i="1"/>
  <c r="H42" i="1"/>
  <c r="P41" i="1"/>
  <c r="N41" i="1"/>
  <c r="H41" i="1"/>
  <c r="P40" i="1"/>
  <c r="R40" i="1" s="1"/>
  <c r="N40" i="1"/>
  <c r="H40" i="1"/>
  <c r="P39" i="1"/>
  <c r="N39" i="1"/>
  <c r="H39" i="1"/>
  <c r="R38" i="1"/>
  <c r="N38" i="1"/>
  <c r="H38" i="1"/>
  <c r="P37" i="1"/>
  <c r="R37" i="1" s="1"/>
  <c r="N37" i="1"/>
  <c r="H37" i="1"/>
  <c r="P36" i="1"/>
  <c r="R36" i="1" s="1"/>
  <c r="N36" i="1"/>
  <c r="H36" i="1"/>
  <c r="P35" i="1"/>
  <c r="R35" i="1" s="1"/>
  <c r="N35" i="1"/>
  <c r="H35" i="1"/>
  <c r="R34" i="1"/>
  <c r="N34" i="1"/>
  <c r="H34" i="1"/>
  <c r="P33" i="1"/>
  <c r="N33" i="1"/>
  <c r="H33" i="1"/>
  <c r="R32" i="1"/>
  <c r="N32" i="1"/>
  <c r="H32" i="1"/>
  <c r="R31" i="1"/>
  <c r="N31" i="1"/>
  <c r="H31" i="1"/>
  <c r="R30" i="1"/>
  <c r="N30" i="1"/>
  <c r="H30" i="1"/>
  <c r="P29" i="1"/>
  <c r="R29" i="1" s="1"/>
  <c r="N29" i="1"/>
  <c r="H29" i="1"/>
  <c r="P28" i="1"/>
  <c r="R28" i="1" s="1"/>
  <c r="N28" i="1"/>
  <c r="H28" i="1"/>
  <c r="P27" i="1"/>
  <c r="R27" i="1" s="1"/>
  <c r="N27" i="1"/>
  <c r="H27" i="1"/>
  <c r="P26" i="1"/>
  <c r="R26" i="1" s="1"/>
  <c r="N26" i="1"/>
  <c r="H26" i="1"/>
  <c r="B26" i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P25" i="1"/>
  <c r="R25" i="1" s="1"/>
  <c r="N25" i="1"/>
  <c r="H25" i="1"/>
  <c r="S20" i="1"/>
  <c r="O20" i="1"/>
  <c r="M20" i="1"/>
  <c r="L20" i="1"/>
  <c r="K20" i="1"/>
  <c r="J20" i="1"/>
  <c r="I20" i="1"/>
  <c r="F20" i="1"/>
  <c r="R18" i="1"/>
  <c r="N18" i="1"/>
  <c r="H18" i="1"/>
  <c r="R17" i="1"/>
  <c r="N17" i="1"/>
  <c r="H17" i="1"/>
  <c r="B17" i="1"/>
  <c r="B18" i="1" s="1"/>
  <c r="R16" i="1"/>
  <c r="N16" i="1"/>
  <c r="H16" i="1"/>
  <c r="R13" i="1"/>
  <c r="N13" i="1"/>
  <c r="H13" i="1"/>
  <c r="P12" i="1"/>
  <c r="R12" i="1" s="1"/>
  <c r="N12" i="1"/>
  <c r="H12" i="1"/>
  <c r="P11" i="1"/>
  <c r="N11" i="1"/>
  <c r="H11" i="1"/>
  <c r="P10" i="1"/>
  <c r="R10" i="1" s="1"/>
  <c r="N10" i="1"/>
  <c r="H10" i="1"/>
  <c r="B10" i="1"/>
  <c r="B11" i="1" s="1"/>
  <c r="B12" i="1" s="1"/>
  <c r="B13" i="1" s="1"/>
  <c r="R9" i="1"/>
  <c r="N9" i="1"/>
  <c r="H9" i="1"/>
  <c r="N625" i="1" l="1"/>
  <c r="R666" i="1"/>
  <c r="H654" i="1"/>
  <c r="N471" i="1"/>
  <c r="N299" i="1"/>
  <c r="H480" i="1"/>
  <c r="H74" i="1"/>
  <c r="R324" i="1"/>
  <c r="R500" i="1"/>
  <c r="N20" i="1"/>
  <c r="R39" i="1"/>
  <c r="N74" i="1"/>
  <c r="H138" i="1"/>
  <c r="R123" i="1"/>
  <c r="H277" i="1"/>
  <c r="R421" i="1"/>
  <c r="R487" i="1"/>
  <c r="H57" i="1"/>
  <c r="N138" i="1"/>
  <c r="N177" i="1"/>
  <c r="N277" i="1"/>
  <c r="R287" i="1"/>
  <c r="R331" i="1"/>
  <c r="R364" i="1"/>
  <c r="N388" i="1"/>
  <c r="R410" i="1"/>
  <c r="R415" i="1"/>
  <c r="R423" i="1"/>
  <c r="R539" i="1"/>
  <c r="N57" i="1"/>
  <c r="R41" i="1"/>
  <c r="R65" i="1"/>
  <c r="N111" i="1"/>
  <c r="R133" i="1"/>
  <c r="R136" i="1"/>
  <c r="R156" i="1"/>
  <c r="R209" i="1"/>
  <c r="H299" i="1"/>
  <c r="N359" i="1"/>
  <c r="R318" i="1"/>
  <c r="R460" i="1"/>
  <c r="R505" i="1"/>
  <c r="N399" i="1"/>
  <c r="N441" i="1"/>
  <c r="N480" i="1"/>
  <c r="N490" i="1"/>
  <c r="R548" i="1"/>
  <c r="R689" i="1"/>
  <c r="R712" i="1"/>
  <c r="H399" i="1"/>
  <c r="H490" i="1"/>
  <c r="R522" i="1"/>
  <c r="R555" i="1"/>
  <c r="R590" i="1"/>
  <c r="R739" i="1"/>
  <c r="N369" i="1"/>
  <c r="H388" i="1"/>
  <c r="H471" i="1"/>
  <c r="N601" i="1"/>
  <c r="N615" i="1"/>
  <c r="R633" i="1"/>
  <c r="R649" i="1"/>
  <c r="N541" i="1"/>
  <c r="R679" i="1"/>
  <c r="N732" i="1"/>
  <c r="R622" i="1"/>
  <c r="R757" i="1"/>
  <c r="N719" i="1"/>
  <c r="H719" i="1"/>
  <c r="B739" i="1"/>
  <c r="B745" i="1" s="1"/>
  <c r="N772" i="1"/>
  <c r="R635" i="1"/>
  <c r="N669" i="1"/>
  <c r="B732" i="1"/>
  <c r="H789" i="1"/>
  <c r="H641" i="1"/>
  <c r="N641" i="1"/>
  <c r="N654" i="1"/>
  <c r="H732" i="1"/>
  <c r="N819" i="1"/>
  <c r="R812" i="1"/>
  <c r="B57" i="1"/>
  <c r="B111" i="1"/>
  <c r="R11" i="1"/>
  <c r="H20" i="1"/>
  <c r="R33" i="1"/>
  <c r="R47" i="1"/>
  <c r="R64" i="1"/>
  <c r="R79" i="1"/>
  <c r="R96" i="1"/>
  <c r="R116" i="1"/>
  <c r="R118" i="1"/>
  <c r="R124" i="1"/>
  <c r="R132" i="1"/>
  <c r="B177" i="1"/>
  <c r="R50" i="1"/>
  <c r="H111" i="1"/>
  <c r="H177" i="1"/>
  <c r="B20" i="1"/>
  <c r="B64" i="1"/>
  <c r="B65" i="1" s="1"/>
  <c r="B66" i="1" s="1"/>
  <c r="B67" i="1" s="1"/>
  <c r="B68" i="1" s="1"/>
  <c r="B118" i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284" i="1"/>
  <c r="B285" i="1" s="1"/>
  <c r="B286" i="1" s="1"/>
  <c r="B287" i="1" s="1"/>
  <c r="B288" i="1" s="1"/>
  <c r="B289" i="1" s="1"/>
  <c r="H359" i="1"/>
  <c r="B359" i="1"/>
  <c r="B277" i="1"/>
  <c r="R197" i="1"/>
  <c r="R210" i="1"/>
  <c r="R217" i="1"/>
  <c r="R220" i="1"/>
  <c r="R227" i="1"/>
  <c r="R327" i="1"/>
  <c r="R330" i="1"/>
  <c r="R335" i="1"/>
  <c r="R340" i="1"/>
  <c r="H369" i="1"/>
  <c r="B376" i="1"/>
  <c r="B377" i="1" s="1"/>
  <c r="B378" i="1" s="1"/>
  <c r="B379" i="1" s="1"/>
  <c r="B380" i="1" s="1"/>
  <c r="B381" i="1" s="1"/>
  <c r="R379" i="1"/>
  <c r="R404" i="1"/>
  <c r="R422" i="1"/>
  <c r="R425" i="1"/>
  <c r="R428" i="1"/>
  <c r="H441" i="1"/>
  <c r="B441" i="1"/>
  <c r="R431" i="1"/>
  <c r="B448" i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78" i="1"/>
  <c r="B480" i="1" s="1"/>
  <c r="B487" i="1"/>
  <c r="B488" i="1" s="1"/>
  <c r="B524" i="1"/>
  <c r="B525" i="1" s="1"/>
  <c r="B526" i="1" s="1"/>
  <c r="B527" i="1" s="1"/>
  <c r="B528" i="1" s="1"/>
  <c r="B529" i="1" s="1"/>
  <c r="R523" i="1"/>
  <c r="R554" i="1"/>
  <c r="N583" i="1"/>
  <c r="B572" i="1"/>
  <c r="B573" i="1" s="1"/>
  <c r="B574" i="1" s="1"/>
  <c r="B575" i="1" s="1"/>
  <c r="B576" i="1" s="1"/>
  <c r="B577" i="1" s="1"/>
  <c r="B578" i="1" s="1"/>
  <c r="B579" i="1" s="1"/>
  <c r="B580" i="1" s="1"/>
  <c r="B581" i="1" s="1"/>
  <c r="R571" i="1"/>
  <c r="R576" i="1"/>
  <c r="H517" i="1"/>
  <c r="N565" i="1"/>
  <c r="R578" i="1"/>
  <c r="B517" i="1"/>
  <c r="R525" i="1"/>
  <c r="H565" i="1"/>
  <c r="N517" i="1"/>
  <c r="H531" i="1"/>
  <c r="N531" i="1"/>
  <c r="R527" i="1"/>
  <c r="H583" i="1"/>
  <c r="R574" i="1"/>
  <c r="B539" i="1"/>
  <c r="B541" i="1" s="1"/>
  <c r="H541" i="1"/>
  <c r="B548" i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90" i="1"/>
  <c r="B591" i="1" s="1"/>
  <c r="B592" i="1" s="1"/>
  <c r="B593" i="1" s="1"/>
  <c r="B594" i="1" s="1"/>
  <c r="H615" i="1"/>
  <c r="B654" i="1"/>
  <c r="H601" i="1"/>
  <c r="B623" i="1"/>
  <c r="B625" i="1" s="1"/>
  <c r="B615" i="1"/>
  <c r="R609" i="1"/>
  <c r="H625" i="1"/>
  <c r="B661" i="1"/>
  <c r="B662" i="1" s="1"/>
  <c r="B663" i="1" s="1"/>
  <c r="B664" i="1" s="1"/>
  <c r="B665" i="1" s="1"/>
  <c r="B666" i="1" s="1"/>
  <c r="B667" i="1" s="1"/>
  <c r="R663" i="1"/>
  <c r="H669" i="1"/>
  <c r="N702" i="1"/>
  <c r="B702" i="1"/>
  <c r="B641" i="1"/>
  <c r="H702" i="1"/>
  <c r="B709" i="1"/>
  <c r="B710" i="1" s="1"/>
  <c r="B711" i="1" s="1"/>
  <c r="B712" i="1" s="1"/>
  <c r="B713" i="1" s="1"/>
  <c r="R725" i="1"/>
  <c r="R737" i="1"/>
  <c r="H745" i="1"/>
  <c r="H772" i="1"/>
  <c r="R753" i="1"/>
  <c r="R763" i="1"/>
  <c r="N745" i="1"/>
  <c r="B752" i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R751" i="1"/>
  <c r="R758" i="1"/>
  <c r="B779" i="1"/>
  <c r="B780" i="1" s="1"/>
  <c r="B781" i="1" s="1"/>
  <c r="B782" i="1" s="1"/>
  <c r="B783" i="1" s="1"/>
  <c r="B784" i="1" s="1"/>
  <c r="B819" i="1"/>
  <c r="R796" i="1"/>
  <c r="R804" i="1"/>
  <c r="R806" i="1"/>
  <c r="N789" i="1"/>
  <c r="R808" i="1"/>
  <c r="H819" i="1"/>
  <c r="R794" i="1"/>
  <c r="R802" i="1"/>
  <c r="B601" i="1" l="1"/>
  <c r="B772" i="1"/>
  <c r="B719" i="1"/>
  <c r="B583" i="1"/>
  <c r="B565" i="1"/>
  <c r="B789" i="1"/>
  <c r="B531" i="1"/>
  <c r="B490" i="1"/>
  <c r="B388" i="1"/>
  <c r="B138" i="1"/>
  <c r="B669" i="1"/>
  <c r="B471" i="1"/>
  <c r="B299" i="1"/>
  <c r="B74" i="1"/>
</calcChain>
</file>

<file path=xl/sharedStrings.xml><?xml version="1.0" encoding="utf-8"?>
<sst xmlns="http://schemas.openxmlformats.org/spreadsheetml/2006/main" count="1224" uniqueCount="1187">
  <si>
    <t>DATA FOR THE YEAR 2016</t>
  </si>
  <si>
    <t>BANK /</t>
  </si>
  <si>
    <t>PROFIT</t>
  </si>
  <si>
    <t>TOTAL</t>
  </si>
  <si>
    <t>ASSETS</t>
  </si>
  <si>
    <t>NUMBER</t>
  </si>
  <si>
    <t>DIVIDEND</t>
  </si>
  <si>
    <t>SR.</t>
  </si>
  <si>
    <t>SYMBOL</t>
  </si>
  <si>
    <t>YEAR</t>
  </si>
  <si>
    <t>PAID-UP</t>
  </si>
  <si>
    <t>FACE</t>
  </si>
  <si>
    <t>EQUITY</t>
  </si>
  <si>
    <t>SALES /</t>
  </si>
  <si>
    <t>FINANCIAL</t>
  </si>
  <si>
    <t>BEFORE</t>
  </si>
  <si>
    <t>TAXATION</t>
  </si>
  <si>
    <t>AFTER</t>
  </si>
  <si>
    <t>CASH</t>
  </si>
  <si>
    <t>STOCK</t>
  </si>
  <si>
    <t>CAPITAL</t>
  </si>
  <si>
    <t>OF</t>
  </si>
  <si>
    <t>NO.</t>
  </si>
  <si>
    <t>NAME OF COMPANY</t>
  </si>
  <si>
    <t>END</t>
  </si>
  <si>
    <t>VALUE</t>
  </si>
  <si>
    <t>OF SHARE</t>
  </si>
  <si>
    <t>TOTAL INCOME</t>
  </si>
  <si>
    <t>CHARGES</t>
  </si>
  <si>
    <t>SHARE</t>
  </si>
  <si>
    <t>(Rs. in million)</t>
  </si>
  <si>
    <t>(In million)</t>
  </si>
  <si>
    <t>%</t>
  </si>
  <si>
    <t>HOLDERS</t>
  </si>
  <si>
    <t>CLOSE-END MUTUAL FUND</t>
  </si>
  <si>
    <t>FDMF</t>
  </si>
  <si>
    <t>First Dawood Mutual Fund</t>
  </si>
  <si>
    <t>GASF</t>
  </si>
  <si>
    <t>Golden Arrow Selected Stocks Fund Limited</t>
  </si>
  <si>
    <t>PGF</t>
  </si>
  <si>
    <t>PICIC Growth Fund</t>
  </si>
  <si>
    <t>PIF</t>
  </si>
  <si>
    <t>PICIC Investment Fund</t>
  </si>
  <si>
    <t>TSMF</t>
  </si>
  <si>
    <t>Tri - Star Mutual Fund Limited</t>
  </si>
  <si>
    <t>DEFAULTERS SEGMENT</t>
  </si>
  <si>
    <t>DOMF</t>
  </si>
  <si>
    <t>Dominion Stock Fund</t>
  </si>
  <si>
    <t>INMF</t>
  </si>
  <si>
    <t>Investec Mutual Fund</t>
  </si>
  <si>
    <t>PUDF</t>
  </si>
  <si>
    <t>Prudential Stock Funds Limited</t>
  </si>
  <si>
    <t>MODARABAS</t>
  </si>
  <si>
    <t>ARM</t>
  </si>
  <si>
    <t>Allied Rental Modaraba</t>
  </si>
  <si>
    <t>AWWAL</t>
  </si>
  <si>
    <t>Awwal Modaraba</t>
  </si>
  <si>
    <t>BFMOD</t>
  </si>
  <si>
    <t>B. F. Modaraba</t>
  </si>
  <si>
    <t>BRR</t>
  </si>
  <si>
    <t>BRR Guardian Modaraba</t>
  </si>
  <si>
    <t>CSM</t>
  </si>
  <si>
    <t>Crescent Standard Modaraba</t>
  </si>
  <si>
    <t>FANM</t>
  </si>
  <si>
    <t>First Al - Noor Modaraba</t>
  </si>
  <si>
    <t>FCONM</t>
  </si>
  <si>
    <t xml:space="preserve">First Constellation Modaraba </t>
  </si>
  <si>
    <t>FECM</t>
  </si>
  <si>
    <t>First Elite Capital Modaraba</t>
  </si>
  <si>
    <t>FEM</t>
  </si>
  <si>
    <t>First Equity Modaraba</t>
  </si>
  <si>
    <t>FFLM</t>
  </si>
  <si>
    <t>First Fidelity Leasing Modaraba</t>
  </si>
  <si>
    <t>FHAM</t>
  </si>
  <si>
    <t xml:space="preserve">First Habib Modaraba </t>
  </si>
  <si>
    <t>FIBLM</t>
  </si>
  <si>
    <t>First IBL Modaraba</t>
  </si>
  <si>
    <t>FIMM</t>
  </si>
  <si>
    <t>First Imrooz Modaraba</t>
  </si>
  <si>
    <t>FNBM</t>
  </si>
  <si>
    <t>First National Bank Modaraba</t>
  </si>
  <si>
    <t>FPJM</t>
  </si>
  <si>
    <t>First Punjab Modaraba</t>
  </si>
  <si>
    <t>FPRM</t>
  </si>
  <si>
    <t>First Paramount Modaraba</t>
  </si>
  <si>
    <t>FTMM</t>
  </si>
  <si>
    <t>First Treet Manufacturing Modaraba</t>
  </si>
  <si>
    <t>FTSM</t>
  </si>
  <si>
    <t>First Tri - Star Modaraba</t>
  </si>
  <si>
    <t>FUDLM</t>
  </si>
  <si>
    <t>First UDL Modaraba</t>
  </si>
  <si>
    <t>KASBM</t>
  </si>
  <si>
    <t xml:space="preserve">KASB Modaraba </t>
  </si>
  <si>
    <t>MODAM</t>
  </si>
  <si>
    <t>Modaraba Al - Mali</t>
  </si>
  <si>
    <t>PAKMI</t>
  </si>
  <si>
    <t>First Pak Modaraba</t>
  </si>
  <si>
    <t>PMI</t>
  </si>
  <si>
    <t>First Prudential Modaraba</t>
  </si>
  <si>
    <t>PIM</t>
  </si>
  <si>
    <t>Popular Islamic Modaraba</t>
  </si>
  <si>
    <t>ORIXM</t>
  </si>
  <si>
    <t>Orix Modaraba (Standard Chartered Modaraba)</t>
  </si>
  <si>
    <t>SINDM</t>
  </si>
  <si>
    <t>Sindh Modaraba</t>
  </si>
  <si>
    <t>TRSM</t>
  </si>
  <si>
    <t>Trust Modaraba</t>
  </si>
  <si>
    <t>UCAPM</t>
  </si>
  <si>
    <t>Unicap Modaraba</t>
  </si>
  <si>
    <t>FIM</t>
  </si>
  <si>
    <t>First Investec Modaraba</t>
  </si>
  <si>
    <t>LEASING COMPANIES</t>
  </si>
  <si>
    <t>CPAL</t>
  </si>
  <si>
    <t>Capital Assets Leasing Corporation Limited</t>
  </si>
  <si>
    <t>GRYL</t>
  </si>
  <si>
    <t>Grays Leasing Limited</t>
  </si>
  <si>
    <t>OLPL</t>
  </si>
  <si>
    <t>Orix Leasing Pakistan Limited</t>
  </si>
  <si>
    <t>PGLC</t>
  </si>
  <si>
    <t>Pak-Gulf Leasing Company Limited</t>
  </si>
  <si>
    <t>SLL</t>
  </si>
  <si>
    <t>SME Leasing Limited</t>
  </si>
  <si>
    <t>SLCL</t>
  </si>
  <si>
    <t>Security Leasing Corporation Limited</t>
  </si>
  <si>
    <t>SPLC</t>
  </si>
  <si>
    <t>Saudi Pak Leasing Company Limited</t>
  </si>
  <si>
    <t>ENGL</t>
  </si>
  <si>
    <t>English Leasing Limited</t>
  </si>
  <si>
    <t>PICL</t>
  </si>
  <si>
    <t>Pakistan Industrial &amp; Commercial Leasing Limited</t>
  </si>
  <si>
    <t>INVESTMENT BANKS / INVESTMENT COMPANIES / SECURITIES COMPANIES</t>
  </si>
  <si>
    <t>AHL</t>
  </si>
  <si>
    <t>Arif Habib Limited</t>
  </si>
  <si>
    <t>AMBL</t>
  </si>
  <si>
    <t>Apna Microfinance Bank Limited</t>
  </si>
  <si>
    <t>CYAN</t>
  </si>
  <si>
    <t>Cyan Limited</t>
  </si>
  <si>
    <t>DEL</t>
  </si>
  <si>
    <t>Dawood Equities Limited</t>
  </si>
  <si>
    <t>ESBL</t>
  </si>
  <si>
    <t>Escorts Investmen Bank Limited</t>
  </si>
  <si>
    <t>FCEL</t>
  </si>
  <si>
    <t>First Capital Equities Limited</t>
  </si>
  <si>
    <t>FCIBL</t>
  </si>
  <si>
    <t>First Credit &amp; Investment Bank Limited</t>
  </si>
  <si>
    <t>FCSC</t>
  </si>
  <si>
    <t>First Capital Securities Corporation Limited</t>
  </si>
  <si>
    <t>FDIBL</t>
  </si>
  <si>
    <t>First Dawood Investment Bank Limited</t>
  </si>
  <si>
    <t>FNEL</t>
  </si>
  <si>
    <t>First National Equities Limited</t>
  </si>
  <si>
    <t>ICIBL</t>
  </si>
  <si>
    <t>Invest Capital Investment Bank Limited</t>
  </si>
  <si>
    <t>IFSL</t>
  </si>
  <si>
    <t>Invest &amp; Finance Securities Limited</t>
  </si>
  <si>
    <t>IGIBL</t>
  </si>
  <si>
    <t>IGI Investment Bank Limited</t>
  </si>
  <si>
    <t>JSCL</t>
  </si>
  <si>
    <t>Jahangir Siddiqui &amp; Co. Limited</t>
  </si>
  <si>
    <t>JSGCL</t>
  </si>
  <si>
    <t>JS Global Capital Limited</t>
  </si>
  <si>
    <t>JSIL</t>
  </si>
  <si>
    <t>JS Investments Limited</t>
  </si>
  <si>
    <t>BIPLS</t>
  </si>
  <si>
    <t>BIPL Securities Limited</t>
  </si>
  <si>
    <t>MCBAH</t>
  </si>
  <si>
    <t>MCB-Arif Habib Savings &amp; Investments Limited</t>
  </si>
  <si>
    <t>NEXT</t>
  </si>
  <si>
    <t>Next Capital Limited</t>
  </si>
  <si>
    <t>PASL</t>
  </si>
  <si>
    <t>Pervez Ahmed Securities Limited</t>
  </si>
  <si>
    <t>SIBL</t>
  </si>
  <si>
    <t>Security Investment Bank Limited</t>
  </si>
  <si>
    <t>TRIBL</t>
  </si>
  <si>
    <t>Trust Investment Bank Limited</t>
  </si>
  <si>
    <t>TSBL</t>
  </si>
  <si>
    <t>Trust Securities &amp; Brokerage Limited</t>
  </si>
  <si>
    <t>AMSL</t>
  </si>
  <si>
    <t>Al-Mal Securities &amp; Services Limited</t>
  </si>
  <si>
    <t>DCM</t>
  </si>
  <si>
    <t>Dawood Capital Management Limited</t>
  </si>
  <si>
    <t>ITSL</t>
  </si>
  <si>
    <t>Investec Securities Limited</t>
  </si>
  <si>
    <t>JOVC</t>
  </si>
  <si>
    <t>Javed Omer Vohra &amp; Company Limited</t>
  </si>
  <si>
    <t>PDGH</t>
  </si>
  <si>
    <t>Prudential Discount &amp; Guarantee House Limited</t>
  </si>
  <si>
    <t>PRIB</t>
  </si>
  <si>
    <t>Prudential Investment Bank</t>
  </si>
  <si>
    <t>COMMERCIAL BANKS</t>
  </si>
  <si>
    <t>ABL</t>
  </si>
  <si>
    <t>Allied Bank Limited</t>
  </si>
  <si>
    <t>AKBL</t>
  </si>
  <si>
    <t>Askari Bank Limited</t>
  </si>
  <si>
    <t>BAHL</t>
  </si>
  <si>
    <t>Bank AL Habib  Limited</t>
  </si>
  <si>
    <t>BAFL</t>
  </si>
  <si>
    <t>Bank Alfalah Limited</t>
  </si>
  <si>
    <t>BOP</t>
  </si>
  <si>
    <t>The Bank of Punjab</t>
  </si>
  <si>
    <t>BIPL</t>
  </si>
  <si>
    <t>BankIslami Pakistan Limited</t>
  </si>
  <si>
    <t>FABL</t>
  </si>
  <si>
    <t>Faysal Bank Limited</t>
  </si>
  <si>
    <t>HBL</t>
  </si>
  <si>
    <t>Habib Bank Limited</t>
  </si>
  <si>
    <t>HMB</t>
  </si>
  <si>
    <t>Habib Metropolitan Bank Limited</t>
  </si>
  <si>
    <t>JSBL</t>
  </si>
  <si>
    <t>JS Bank Limited</t>
  </si>
  <si>
    <t>MCB</t>
  </si>
  <si>
    <t>MCB Bank Limited</t>
  </si>
  <si>
    <t>MEBL</t>
  </si>
  <si>
    <t>Meezan Bank Limited</t>
  </si>
  <si>
    <t>NBP</t>
  </si>
  <si>
    <t>National Bank of Pakistan</t>
  </si>
  <si>
    <t>NIB</t>
  </si>
  <si>
    <t>NIB Bank Limited</t>
  </si>
  <si>
    <t>SBL</t>
  </si>
  <si>
    <t>Samba Bank Limited</t>
  </si>
  <si>
    <t>SILK</t>
  </si>
  <si>
    <t>Silkbank Limited</t>
  </si>
  <si>
    <t>SNBL</t>
  </si>
  <si>
    <t>Soneri Bank Limited</t>
  </si>
  <si>
    <t>SCBPL</t>
  </si>
  <si>
    <t>Standard Chartered Bank (Pakistan) Ltd.</t>
  </si>
  <si>
    <t>SMBL</t>
  </si>
  <si>
    <t>Summit Bank Limited</t>
  </si>
  <si>
    <t>BOK</t>
  </si>
  <si>
    <t>The Bank of Khyber</t>
  </si>
  <si>
    <t>UBL</t>
  </si>
  <si>
    <t>United Bank Limited</t>
  </si>
  <si>
    <t>INSURANCE</t>
  </si>
  <si>
    <t>AGIC</t>
  </si>
  <si>
    <t>Askari General Insurance Company Limited</t>
  </si>
  <si>
    <t>AICL</t>
  </si>
  <si>
    <t>Adamjee Insurance Company Limited</t>
  </si>
  <si>
    <t>ASIC</t>
  </si>
  <si>
    <t>Asia Insurance Company Limited</t>
  </si>
  <si>
    <t>ATIL</t>
  </si>
  <si>
    <t>Atlas Insurance Limited</t>
  </si>
  <si>
    <t>CENI</t>
  </si>
  <si>
    <t>Century Insurance Company Limited</t>
  </si>
  <si>
    <t>CSIL</t>
  </si>
  <si>
    <t>Crescent Star Insurance Limited</t>
  </si>
  <si>
    <t>EFUG</t>
  </si>
  <si>
    <t>EFU General Insurance Limited</t>
  </si>
  <si>
    <t>EFUL</t>
  </si>
  <si>
    <t>EFU Life Assurance Limited</t>
  </si>
  <si>
    <t>EWIC</t>
  </si>
  <si>
    <t>East West Insurance Company Limited</t>
  </si>
  <si>
    <t>EWLA</t>
  </si>
  <si>
    <t>East West Life Assurance Company Limited</t>
  </si>
  <si>
    <t>HICL</t>
  </si>
  <si>
    <t>Habib Insurance Company Limited</t>
  </si>
  <si>
    <t>IGIIL</t>
  </si>
  <si>
    <t>IGI Insurance Limited</t>
  </si>
  <si>
    <t>IGIL</t>
  </si>
  <si>
    <t>IGI Life Insurance Limited</t>
  </si>
  <si>
    <t>JGICL</t>
  </si>
  <si>
    <t>Jubilee General Insurance Company Limited</t>
  </si>
  <si>
    <t>JLICL</t>
  </si>
  <si>
    <t>Jubilee Life Insurance Company Limited</t>
  </si>
  <si>
    <t>PAKRI</t>
  </si>
  <si>
    <t>Pakistan Reinsurance Company Limited</t>
  </si>
  <si>
    <t>PIL</t>
  </si>
  <si>
    <t>PICIC Insurance Limited</t>
  </si>
  <si>
    <t>PINL</t>
  </si>
  <si>
    <t>Premier Insurance Limited</t>
  </si>
  <si>
    <t>PKGI</t>
  </si>
  <si>
    <t>Pakistan General Insurance Company Limited</t>
  </si>
  <si>
    <t>RICL</t>
  </si>
  <si>
    <t>Reliance Insurance Company Limited</t>
  </si>
  <si>
    <t>SHNI</t>
  </si>
  <si>
    <t>Shaheen Insurance Company Limited</t>
  </si>
  <si>
    <t>TDIL</t>
  </si>
  <si>
    <t>TPL Direct Insurance Limited</t>
  </si>
  <si>
    <t>UNIC</t>
  </si>
  <si>
    <t>The United Insurance Company of Pakistan Limited</t>
  </si>
  <si>
    <t>UVIC</t>
  </si>
  <si>
    <t>The Universal Insurance Company Limited</t>
  </si>
  <si>
    <t>BEEM</t>
  </si>
  <si>
    <t>Beema Pakistan Limited</t>
  </si>
  <si>
    <t>BIIC</t>
  </si>
  <si>
    <t>Business &amp; Industrial Insurance Company Limited</t>
  </si>
  <si>
    <t>HMICL</t>
  </si>
  <si>
    <t>Hallmark Insurance Company Limited</t>
  </si>
  <si>
    <t>PGIC</t>
  </si>
  <si>
    <t>Pakistan Guarantee Insurance Company Limited</t>
  </si>
  <si>
    <t>PRIC</t>
  </si>
  <si>
    <t>Progressive Insurance Company Limited</t>
  </si>
  <si>
    <t>SSIC</t>
  </si>
  <si>
    <t>Silver Star Insurance Company Limited</t>
  </si>
  <si>
    <t>SICL</t>
  </si>
  <si>
    <t>Standard Insurance Company Limited</t>
  </si>
  <si>
    <t>REAL ESTATE INVESTMENT TRUST</t>
  </si>
  <si>
    <t>DCR</t>
  </si>
  <si>
    <t>Dolmen City REIT</t>
  </si>
  <si>
    <t>TEXTILE SPINNING</t>
  </si>
  <si>
    <t>ALQT</t>
  </si>
  <si>
    <t>Al-Qadir Textile Mills Limited</t>
  </si>
  <si>
    <t>ASTM</t>
  </si>
  <si>
    <t>Asim Textile Mills Limited</t>
  </si>
  <si>
    <t>AWTX</t>
  </si>
  <si>
    <t>Allawasaya Textile &amp; Finishing Mills Limited</t>
  </si>
  <si>
    <t>AMTEX</t>
  </si>
  <si>
    <t>Amtex Limited</t>
  </si>
  <si>
    <t>AYTM</t>
  </si>
  <si>
    <t>Ayesha Textile Mills Limited</t>
  </si>
  <si>
    <t>BCML</t>
  </si>
  <si>
    <t>Babri Cotton Mills Limited</t>
  </si>
  <si>
    <t>BILF</t>
  </si>
  <si>
    <t>Bilal Fibres Limited</t>
  </si>
  <si>
    <t>CCM</t>
  </si>
  <si>
    <t xml:space="preserve">Crescent Cotton Mills Limited </t>
  </si>
  <si>
    <t>CFL</t>
  </si>
  <si>
    <t>Crescent Fibres Limited</t>
  </si>
  <si>
    <t>CTM</t>
  </si>
  <si>
    <t>Colony Textile Mills Limited</t>
  </si>
  <si>
    <t>CWSM</t>
  </si>
  <si>
    <t>Chakwal Spinning Mills Limited</t>
  </si>
  <si>
    <t>DFSM</t>
  </si>
  <si>
    <t>Dewan Farooque Spinning Mills Limited</t>
  </si>
  <si>
    <t>DINT</t>
  </si>
  <si>
    <t>Din Textile Mills Limited</t>
  </si>
  <si>
    <t>DKTM</t>
  </si>
  <si>
    <t>Dewan Khalid Textile Mills Limited</t>
  </si>
  <si>
    <t>DMTM</t>
  </si>
  <si>
    <t>Dewan Mushtaq Textile Mills Limited</t>
  </si>
  <si>
    <t>DMTX</t>
  </si>
  <si>
    <t>D. M. Textile Mills Limited</t>
  </si>
  <si>
    <t>DSIL</t>
  </si>
  <si>
    <t>D. S. Industries Limited</t>
  </si>
  <si>
    <t>DSML</t>
  </si>
  <si>
    <t>Dar Es Salaam Textile Mills Limited</t>
  </si>
  <si>
    <t>DWTM</t>
  </si>
  <si>
    <t>Dewan Textile Mills Limited</t>
  </si>
  <si>
    <t>ELCM</t>
  </si>
  <si>
    <t>Elahi Cotton Mills Limited</t>
  </si>
  <si>
    <t>ELSM</t>
  </si>
  <si>
    <t>Ellcot Spinning Mills Limited</t>
  </si>
  <si>
    <t>FZCM</t>
  </si>
  <si>
    <t>Fazal Cloth Mills Limited</t>
  </si>
  <si>
    <t>GADT</t>
  </si>
  <si>
    <t>Gadoon Textile Mills Limited</t>
  </si>
  <si>
    <t>GLAT</t>
  </si>
  <si>
    <t>Glamour Textile Mills Limited</t>
  </si>
  <si>
    <t>HIRAT</t>
  </si>
  <si>
    <t>Hira Textile Mills Limited</t>
  </si>
  <si>
    <t>HMIM</t>
  </si>
  <si>
    <t>Haji Mohammad Ismail Mills Limited</t>
  </si>
  <si>
    <t>IDRT</t>
  </si>
  <si>
    <t>Idrees Textile Mills Limited</t>
  </si>
  <si>
    <t>IDSM</t>
  </si>
  <si>
    <t>Ideal Spinning Mills Limited</t>
  </si>
  <si>
    <t>IDYM</t>
  </si>
  <si>
    <t>Indus Dyeing &amp; Manufacturing Company Limited</t>
  </si>
  <si>
    <t>ILTM</t>
  </si>
  <si>
    <t>Island Textile Mills Limited</t>
  </si>
  <si>
    <t>JATM</t>
  </si>
  <si>
    <t>J. A. Textile Mills Limited</t>
  </si>
  <si>
    <t>JDMT</t>
  </si>
  <si>
    <t>Janana De Malucho Textile Mills Limited</t>
  </si>
  <si>
    <t>JKSM</t>
  </si>
  <si>
    <t>J. K. Spinning Mills Limited</t>
  </si>
  <si>
    <t>KOHTM</t>
  </si>
  <si>
    <t>Kohat Textile Mills Limited</t>
  </si>
  <si>
    <t>KOSM</t>
  </si>
  <si>
    <t>Kohinoor Spinning Mills Limited</t>
  </si>
  <si>
    <t>KSTM</t>
  </si>
  <si>
    <t>Khalid Siraj Textile Mills Limited</t>
  </si>
  <si>
    <t>LMSM</t>
  </si>
  <si>
    <t>Landmark Spinning Industries Limited</t>
  </si>
  <si>
    <t>MQTM</t>
  </si>
  <si>
    <t>Maqbool Textile Mills Limited</t>
  </si>
  <si>
    <t>NAGC</t>
  </si>
  <si>
    <t>Nagina Cotton Mills Limited</t>
  </si>
  <si>
    <t>NATM</t>
  </si>
  <si>
    <t>Nadeem Textile Mills Limited</t>
  </si>
  <si>
    <t>NCML</t>
  </si>
  <si>
    <t>Nazir Cotton Mills Limited</t>
  </si>
  <si>
    <t>NPSM</t>
  </si>
  <si>
    <t>N. P. Spinning Mills Limited</t>
  </si>
  <si>
    <t>OLSM</t>
  </si>
  <si>
    <t>Olympia Spinning &amp; Weaving Mills Limited</t>
  </si>
  <si>
    <t>PRET</t>
  </si>
  <si>
    <t>Premium Textile Mills Limited</t>
  </si>
  <si>
    <t>RAVT</t>
  </si>
  <si>
    <t>Ravi Textile Mills Limited</t>
  </si>
  <si>
    <t>RCML</t>
  </si>
  <si>
    <t>Reliance Cotton Spinning Mills Limited</t>
  </si>
  <si>
    <t>RUBY</t>
  </si>
  <si>
    <t>Ruby Textile Mills Limited</t>
  </si>
  <si>
    <t>SAIF</t>
  </si>
  <si>
    <t>Saif Textile Mills Limited</t>
  </si>
  <si>
    <t>SALT</t>
  </si>
  <si>
    <t>Salfi Textile Mills Limited</t>
  </si>
  <si>
    <t>SANE</t>
  </si>
  <si>
    <t>Salman Noman Enterprises Limited</t>
  </si>
  <si>
    <t>SERT</t>
  </si>
  <si>
    <t>Service Industries Textiles Limited</t>
  </si>
  <si>
    <t>SHCM</t>
  </si>
  <si>
    <t>Shadman Cotton Mills Limited</t>
  </si>
  <si>
    <t>SHDT</t>
  </si>
  <si>
    <t>Shadab Textile Mills Limited</t>
  </si>
  <si>
    <t>SJTM</t>
  </si>
  <si>
    <t>Sajjad Textile Mills Limited</t>
  </si>
  <si>
    <t>SLYT</t>
  </si>
  <si>
    <t>Sally Textile Mills Limited</t>
  </si>
  <si>
    <t>SNAI</t>
  </si>
  <si>
    <t>Sana Industries Limited</t>
  </si>
  <si>
    <t>SRSM</t>
  </si>
  <si>
    <t>Sargodha Spinning Mills Limited</t>
  </si>
  <si>
    <t>SSML</t>
  </si>
  <si>
    <t>Saritow Spinning Mills Limited</t>
  </si>
  <si>
    <t>SUTM</t>
  </si>
  <si>
    <t>Sunrays Textile Mills Limited</t>
  </si>
  <si>
    <t>SZTM</t>
  </si>
  <si>
    <t>Shahzad Textile Mills Limited</t>
  </si>
  <si>
    <t>TATM</t>
  </si>
  <si>
    <t>Tata Textile Mills Limited</t>
  </si>
  <si>
    <t>THAS</t>
  </si>
  <si>
    <t>Taha Spinning Mills Limited</t>
  </si>
  <si>
    <t>AATM</t>
  </si>
  <si>
    <t>Ali Asghar Textile Mills Limited</t>
  </si>
  <si>
    <t>ADTM</t>
  </si>
  <si>
    <t>Adil Textile Mills Limited</t>
  </si>
  <si>
    <t>ANNT</t>
  </si>
  <si>
    <t>Annoor Textile Mills Limited</t>
  </si>
  <si>
    <t>AQTM</t>
  </si>
  <si>
    <t>Al-Qaim Textile Mills Limited</t>
  </si>
  <si>
    <t>APOT</t>
  </si>
  <si>
    <t>Apollo Textile Mills Limited</t>
  </si>
  <si>
    <t>AZMT</t>
  </si>
  <si>
    <t>Azmat Textile Mills Limited</t>
  </si>
  <si>
    <t>AZTM</t>
  </si>
  <si>
    <t>Al-Azhar Textile Mills Limited</t>
  </si>
  <si>
    <t>BROT</t>
  </si>
  <si>
    <t>Brothers Textile Mills Limited</t>
  </si>
  <si>
    <t>DATM</t>
  </si>
  <si>
    <t>Data Textiles Limited</t>
  </si>
  <si>
    <t>FAEL</t>
  </si>
  <si>
    <t>Fatima Enterprises Limited</t>
  </si>
  <si>
    <t>GLOT</t>
  </si>
  <si>
    <t>Globe Textile Mills Limited</t>
  </si>
  <si>
    <t>GOEM</t>
  </si>
  <si>
    <t>Globe Textile Mills (OE) Limited</t>
  </si>
  <si>
    <t>GSPM</t>
  </si>
  <si>
    <t>Gulshan Spinning Mills Limited</t>
  </si>
  <si>
    <t>GUSM</t>
  </si>
  <si>
    <t>Gulistan Spinning Mills Limited</t>
  </si>
  <si>
    <t>GUTM</t>
  </si>
  <si>
    <t>Gulistan Textile Mills Limited</t>
  </si>
  <si>
    <t>HAJT</t>
  </si>
  <si>
    <t>Hajra Textile Mills Limited</t>
  </si>
  <si>
    <t>ISHT</t>
  </si>
  <si>
    <t>Ishtiaq Textile Mills Limited</t>
  </si>
  <si>
    <t>KACM</t>
  </si>
  <si>
    <t>Karim Cotton Mills Limited</t>
  </si>
  <si>
    <t>KHSM</t>
  </si>
  <si>
    <t>Khurshid Spinning Mills Limited</t>
  </si>
  <si>
    <t>MDTM</t>
  </si>
  <si>
    <t>Mehr Dastgir Textile Mills Limited</t>
  </si>
  <si>
    <t>MUKT</t>
  </si>
  <si>
    <t>Mukhtar Textile Mills Limited</t>
  </si>
  <si>
    <t>PCML</t>
  </si>
  <si>
    <t>Punjab Cotton Mills Limited</t>
  </si>
  <si>
    <t>SUCM</t>
  </si>
  <si>
    <t>Sunshine Cotton Mills Limited</t>
  </si>
  <si>
    <t>TEXTILE WEAVING</t>
  </si>
  <si>
    <t>ASHT</t>
  </si>
  <si>
    <t>Ashfaq Textile Mills Limited</t>
  </si>
  <si>
    <t>FML</t>
  </si>
  <si>
    <t xml:space="preserve">Feroze1888 Mills Limited </t>
  </si>
  <si>
    <t>PRWM</t>
  </si>
  <si>
    <t>Prosperity Weaving Mills Limited</t>
  </si>
  <si>
    <t>SMTM</t>
  </si>
  <si>
    <t>Samin Textiles Limited</t>
  </si>
  <si>
    <t>SERF</t>
  </si>
  <si>
    <t>Service Fabrics Limited</t>
  </si>
  <si>
    <t>STJT</t>
  </si>
  <si>
    <t>Shahtaj Textile Limited</t>
  </si>
  <si>
    <t>YOUW</t>
  </si>
  <si>
    <t>Yousaf Weaving Mills Limited</t>
  </si>
  <si>
    <t>ZTL</t>
  </si>
  <si>
    <t>Zephyr Textiles Limited</t>
  </si>
  <si>
    <t>AYZT</t>
  </si>
  <si>
    <t>Ayaz Textile Mills Limited</t>
  </si>
  <si>
    <t>HKKT</t>
  </si>
  <si>
    <t>Hakkim Textile Mills Limited</t>
  </si>
  <si>
    <t>ICCT</t>
  </si>
  <si>
    <t>ICC Textiles Limited</t>
  </si>
  <si>
    <t>MOHE</t>
  </si>
  <si>
    <t>Mohib Exports Limited</t>
  </si>
  <si>
    <t>SDIL</t>
  </si>
  <si>
    <t>Saleem Denim Industries Limited</t>
  </si>
  <si>
    <t>SDOT</t>
  </si>
  <si>
    <t>Sadoon Textile Mills Limited</t>
  </si>
  <si>
    <t>TEXTILE COMPOSITE</t>
  </si>
  <si>
    <t>ADMM</t>
  </si>
  <si>
    <t>Artistic Denim Mills Limited</t>
  </si>
  <si>
    <t>AHTM</t>
  </si>
  <si>
    <t>Ahmad Hassan Textile Mills Limited</t>
  </si>
  <si>
    <t>ANL</t>
  </si>
  <si>
    <t>Azgard Nine Limited</t>
  </si>
  <si>
    <t>ARUJ</t>
  </si>
  <si>
    <t>Aruj Industries Limited</t>
  </si>
  <si>
    <t>BHAT</t>
  </si>
  <si>
    <t>Bhanero Textile Mills Limited</t>
  </si>
  <si>
    <t>BTL</t>
  </si>
  <si>
    <t>Blessed Textile Mills Limited</t>
  </si>
  <si>
    <t>CHBL</t>
  </si>
  <si>
    <t>Chenab Limited</t>
  </si>
  <si>
    <t>CRTM</t>
  </si>
  <si>
    <t>The Crescent Textile Mills Limited</t>
  </si>
  <si>
    <t>DLL</t>
  </si>
  <si>
    <t>Dawood Lawrencepur Limited</t>
  </si>
  <si>
    <t>FASM</t>
  </si>
  <si>
    <t>Faisal Spinning Mills Limited</t>
  </si>
  <si>
    <t>GATM</t>
  </si>
  <si>
    <t>Gul Ahmed Textile Mills Limited</t>
  </si>
  <si>
    <t>GFIL</t>
  </si>
  <si>
    <t>Ghazi Fabrics International Limited</t>
  </si>
  <si>
    <t>HAEL</t>
  </si>
  <si>
    <t>Hala Enterprises Limited</t>
  </si>
  <si>
    <t>HAFL</t>
  </si>
  <si>
    <t>Hafiz Limited</t>
  </si>
  <si>
    <t>INKL</t>
  </si>
  <si>
    <t>International Knitwear Limited</t>
  </si>
  <si>
    <t>ISTM</t>
  </si>
  <si>
    <t>Ishaq Textile Mills Limited</t>
  </si>
  <si>
    <t>JUBS</t>
  </si>
  <si>
    <t>Jubilee Spinning &amp; Weaving Mills Limited</t>
  </si>
  <si>
    <t>KHYT</t>
  </si>
  <si>
    <t>Khyber Textile Mills Limited</t>
  </si>
  <si>
    <t>KML</t>
  </si>
  <si>
    <t>Kohinoor Mills Limited</t>
  </si>
  <si>
    <t>KOIL</t>
  </si>
  <si>
    <t>Kohinoor Industries Limited</t>
  </si>
  <si>
    <t>KTML</t>
  </si>
  <si>
    <t>Kohinoor Textile Mills Limited</t>
  </si>
  <si>
    <t>MEHT</t>
  </si>
  <si>
    <t>Mahmood Textile Mills Limited</t>
  </si>
  <si>
    <t>MFTM</t>
  </si>
  <si>
    <t>Mohammed Farooq Textile Mills Limited</t>
  </si>
  <si>
    <t>MSOT</t>
  </si>
  <si>
    <t>Masood Textile Mills Limited</t>
  </si>
  <si>
    <t>MTIL</t>
  </si>
  <si>
    <t>Mian Textile Industries Limited</t>
  </si>
  <si>
    <t>MUBT</t>
  </si>
  <si>
    <t>Mubarak Textile Mills Limited</t>
  </si>
  <si>
    <t>NCL</t>
  </si>
  <si>
    <t>Nishat (Chunian) Limited</t>
  </si>
  <si>
    <t>NML</t>
  </si>
  <si>
    <t>Nishat Mills Limited</t>
  </si>
  <si>
    <t>QUET</t>
  </si>
  <si>
    <t>Quetta Textile Mills Limited</t>
  </si>
  <si>
    <t>REDCO</t>
  </si>
  <si>
    <t>Redco Textiles Limited</t>
  </si>
  <si>
    <t>REWM</t>
  </si>
  <si>
    <t>Reliance Weaving Mills Limited</t>
  </si>
  <si>
    <t>SAPT</t>
  </si>
  <si>
    <t>Sapphire Textile Mills Limited</t>
  </si>
  <si>
    <t>SFAT</t>
  </si>
  <si>
    <t>Safa Textiles Limited</t>
  </si>
  <si>
    <t>SFL</t>
  </si>
  <si>
    <t>Sapphire Fibres Limited</t>
  </si>
  <si>
    <t>SFLL</t>
  </si>
  <si>
    <t>SFL Limited</t>
  </si>
  <si>
    <t>STML</t>
  </si>
  <si>
    <t>Shams Textile Mills Limited</t>
  </si>
  <si>
    <t>SURC</t>
  </si>
  <si>
    <t>Suraj Cotton Mills Limited</t>
  </si>
  <si>
    <t>TOWL</t>
  </si>
  <si>
    <t>Towellers Limited</t>
  </si>
  <si>
    <t>ZAHID</t>
  </si>
  <si>
    <t>Zahidjee Textile Mills Limited</t>
  </si>
  <si>
    <t>COST</t>
  </si>
  <si>
    <t>(Colony) Sarhad Textile Mills Limited</t>
  </si>
  <si>
    <t>COTT</t>
  </si>
  <si>
    <t>(Colony) Thal Textile Mills Limited</t>
  </si>
  <si>
    <t>FSWL</t>
  </si>
  <si>
    <t>Fateh Sports Wear Limited</t>
  </si>
  <si>
    <t>FTHM</t>
  </si>
  <si>
    <t>Fateh Textile Mills Limited</t>
  </si>
  <si>
    <t>HATM</t>
  </si>
  <si>
    <t>Hamid Textile Mills Limited</t>
  </si>
  <si>
    <t>HUSI</t>
  </si>
  <si>
    <t>Husein Industries Limited</t>
  </si>
  <si>
    <t>KAKL</t>
  </si>
  <si>
    <t>Kaiser Arts &amp; Krafts Limited</t>
  </si>
  <si>
    <t>NINA</t>
  </si>
  <si>
    <t>Nina Industries Limited</t>
  </si>
  <si>
    <t>PASM</t>
  </si>
  <si>
    <t>Paramount Spinning Mills Limited</t>
  </si>
  <si>
    <t>SCHT</t>
  </si>
  <si>
    <t>Schon Textile Mills Limited</t>
  </si>
  <si>
    <t>TAJT</t>
  </si>
  <si>
    <t>Taj Textile Mills Limited</t>
  </si>
  <si>
    <t>USMT</t>
  </si>
  <si>
    <t>Usman Textile Mills Limited</t>
  </si>
  <si>
    <t>ZHCM</t>
  </si>
  <si>
    <t>Zahur Cotton Mills Limited</t>
  </si>
  <si>
    <t>WOOLLEN</t>
  </si>
  <si>
    <t>BNWM</t>
  </si>
  <si>
    <t>Bannu Woollen Mills Limited</t>
  </si>
  <si>
    <t>MOON</t>
  </si>
  <si>
    <t>Moonlite (Pak) Limited</t>
  </si>
  <si>
    <t>SYNTHETIC &amp; RAYON</t>
  </si>
  <si>
    <t>AASM</t>
  </si>
  <si>
    <t>Al- Abid Silk Mills Limited</t>
  </si>
  <si>
    <t>DSFL</t>
  </si>
  <si>
    <t>Dewan Salman Fibre Limited</t>
  </si>
  <si>
    <t>GATI</t>
  </si>
  <si>
    <t>Gatron (Industries) Limited</t>
  </si>
  <si>
    <t>IBFL</t>
  </si>
  <si>
    <t>Ibrahim Fibres Limited</t>
  </si>
  <si>
    <t>NSRM</t>
  </si>
  <si>
    <t>The National Silk &amp; Rayon Mills Limited</t>
  </si>
  <si>
    <t>PSYL</t>
  </si>
  <si>
    <t>Pakistan Synthetics Limited</t>
  </si>
  <si>
    <t>RUPL</t>
  </si>
  <si>
    <t>Rupali Polyester Limited</t>
  </si>
  <si>
    <t>TRPOL</t>
  </si>
  <si>
    <t>Tri-Star Polyester Limited</t>
  </si>
  <si>
    <t>NAFL</t>
  </si>
  <si>
    <t>National Fibres Limited</t>
  </si>
  <si>
    <t>NORS</t>
  </si>
  <si>
    <t>Noor Silk Mills Limited</t>
  </si>
  <si>
    <t>SGFL</t>
  </si>
  <si>
    <t>S. G. Fiber Limited</t>
  </si>
  <si>
    <t>JUTE</t>
  </si>
  <si>
    <t>ASRL</t>
  </si>
  <si>
    <t>Associated Services Limited</t>
  </si>
  <si>
    <t>CJPL</t>
  </si>
  <si>
    <t>Crescent Jute Products Limited</t>
  </si>
  <si>
    <t>SUHJ</t>
  </si>
  <si>
    <t>Suhail Jute Mills Limited</t>
  </si>
  <si>
    <t>SUGAR &amp; ALLIED INDUSTRIES</t>
  </si>
  <si>
    <t>AABS</t>
  </si>
  <si>
    <t>Al-Abbas Sugar Mills Limited</t>
  </si>
  <si>
    <t>ADAMS</t>
  </si>
  <si>
    <t>Adam Sugar Mills Limited</t>
  </si>
  <si>
    <t>AGSML</t>
  </si>
  <si>
    <t>Abdullah Shah Ghazi Sugar Mills Limited</t>
  </si>
  <si>
    <t>ALNRS</t>
  </si>
  <si>
    <t>Al-Noor Sugar Mills Limited</t>
  </si>
  <si>
    <t>ANSM</t>
  </si>
  <si>
    <t>Ansari Sugar Mills Limited</t>
  </si>
  <si>
    <t>BAFS</t>
  </si>
  <si>
    <t>Baba Farid Sugar Mills Limited</t>
  </si>
  <si>
    <t>CHAS</t>
  </si>
  <si>
    <t>Chashma Sugar Mills Limited</t>
  </si>
  <si>
    <t>IMSL</t>
  </si>
  <si>
    <t>Imperial Sugar Mills Limited</t>
  </si>
  <si>
    <t>DWSM</t>
  </si>
  <si>
    <t>Dewan Sugar Mills Limited</t>
  </si>
  <si>
    <t>FRSM</t>
  </si>
  <si>
    <t>Faran Sugar Mills Limited</t>
  </si>
  <si>
    <t>HABSM</t>
  </si>
  <si>
    <t>Habib Sugar Mills Limited</t>
  </si>
  <si>
    <t>HAL</t>
  </si>
  <si>
    <t>Habib ADM Limited</t>
  </si>
  <si>
    <t>HUSS</t>
  </si>
  <si>
    <t>Husein Sugar Mills Limited</t>
  </si>
  <si>
    <t>HWQS</t>
  </si>
  <si>
    <t>Haseeb Waqas Sugar Mills Limited</t>
  </si>
  <si>
    <t>JDWS</t>
  </si>
  <si>
    <t>JDW Sugar Mills Limited</t>
  </si>
  <si>
    <t>JSML</t>
  </si>
  <si>
    <t>Jauharabad Sugar Mills Limited</t>
  </si>
  <si>
    <t>KPUS</t>
  </si>
  <si>
    <t>Khairpur Sugar Mills Limited</t>
  </si>
  <si>
    <t>MIRKS</t>
  </si>
  <si>
    <t>Mirpurkhas Sugar Mills Limited</t>
  </si>
  <si>
    <t>MRNS</t>
  </si>
  <si>
    <t>Mehran Sugar Mills Limited</t>
  </si>
  <si>
    <t>NONS</t>
  </si>
  <si>
    <t>Noon Sugar Mills Limited</t>
  </si>
  <si>
    <t>PMRS</t>
  </si>
  <si>
    <t>The Premier Sugar Mills &amp; Distillery Company Limited</t>
  </si>
  <si>
    <t>SANSM</t>
  </si>
  <si>
    <t>Sanghar Sugar Mills Limited</t>
  </si>
  <si>
    <t>SASML</t>
  </si>
  <si>
    <t>Sindh Abadgar's Sugar Mills Limited</t>
  </si>
  <si>
    <t>SML</t>
  </si>
  <si>
    <t>Shakarganj Limited</t>
  </si>
  <si>
    <t>SHJS</t>
  </si>
  <si>
    <t>Shahtaj Sugar Mills Limited</t>
  </si>
  <si>
    <t>SHSML</t>
  </si>
  <si>
    <t>Shahmurad Sugar Mills Limited</t>
  </si>
  <si>
    <t>SKRS</t>
  </si>
  <si>
    <t>Sakrand Sugar Mills Limited</t>
  </si>
  <si>
    <t>TICL</t>
  </si>
  <si>
    <t>The Thal Industries Corporation Limited</t>
  </si>
  <si>
    <t>TSML</t>
  </si>
  <si>
    <t>Tandlianwala Sugar Mills Limited</t>
  </si>
  <si>
    <t>Thal Industries Corporation Limited has announced Interim Cash Dividend @ 125.78% for the year ended 30-Sep-2016 in its meeting held on September 18, 2017.</t>
  </si>
  <si>
    <t>MZSM</t>
  </si>
  <si>
    <t>Mirza Sugar Mills Limited</t>
  </si>
  <si>
    <t>PNGRS</t>
  </si>
  <si>
    <t>Pangrio Sugar Mills Limited</t>
  </si>
  <si>
    <t>SLSO</t>
  </si>
  <si>
    <t>Saleem Sugar Mills Limited</t>
  </si>
  <si>
    <t>CEMENT</t>
  </si>
  <si>
    <t>ACPL</t>
  </si>
  <si>
    <t>Attock Cement Pakistan Limited</t>
  </si>
  <si>
    <t>BWCL</t>
  </si>
  <si>
    <t>Bestway Cement Limited</t>
  </si>
  <si>
    <t>CHCC</t>
  </si>
  <si>
    <t>Cherat Cement Company Limited</t>
  </si>
  <si>
    <t>DCL</t>
  </si>
  <si>
    <t>Dewan Cement Limited</t>
  </si>
  <si>
    <t>DGKC</t>
  </si>
  <si>
    <t>D. G. Khan Cement Company Limited</t>
  </si>
  <si>
    <t>DNCC</t>
  </si>
  <si>
    <t>Dandot Cement Company Limited</t>
  </si>
  <si>
    <t>FCCL</t>
  </si>
  <si>
    <t>Fauji Cement Company Limited</t>
  </si>
  <si>
    <t>FECTC</t>
  </si>
  <si>
    <t>Fecto Cement Limited</t>
  </si>
  <si>
    <t>FLYNG</t>
  </si>
  <si>
    <t>Flying Cement Company Limited</t>
  </si>
  <si>
    <t>GWLC</t>
  </si>
  <si>
    <t>Gharibwal Cement Limited</t>
  </si>
  <si>
    <t>JVDC</t>
  </si>
  <si>
    <t>Javedan Corporation Limited</t>
  </si>
  <si>
    <t>KOHC</t>
  </si>
  <si>
    <t>Kohat Cement Company Limited</t>
  </si>
  <si>
    <t>PAKCEM</t>
  </si>
  <si>
    <t>Pakcem Limited</t>
  </si>
  <si>
    <t>LUCK</t>
  </si>
  <si>
    <t>Lucky Cement Limited</t>
  </si>
  <si>
    <t>MLCF</t>
  </si>
  <si>
    <t>Maple Leaf Cement Factory Limited</t>
  </si>
  <si>
    <t>PIOC</t>
  </si>
  <si>
    <t>Pioneer Cement Limited</t>
  </si>
  <si>
    <t>POWER</t>
  </si>
  <si>
    <t>Power Cement Limited</t>
  </si>
  <si>
    <t>SMCPL</t>
  </si>
  <si>
    <t>Safe Mix Concrete Limited</t>
  </si>
  <si>
    <t>THCCL</t>
  </si>
  <si>
    <t>Thatta Cement Company Limited</t>
  </si>
  <si>
    <t>DBCI</t>
  </si>
  <si>
    <t>Dadabhoy Cement Industries Limited</t>
  </si>
  <si>
    <t>ZELP</t>
  </si>
  <si>
    <t>Zeal-Pak Cement Factory Limited</t>
  </si>
  <si>
    <t>TOBACCO</t>
  </si>
  <si>
    <t>KHTC</t>
  </si>
  <si>
    <t>Khyber Tobacco Company Limited</t>
  </si>
  <si>
    <t>PAKT</t>
  </si>
  <si>
    <t>Pakistan Tobacco Company Limited</t>
  </si>
  <si>
    <t>PMPK</t>
  </si>
  <si>
    <t>Philip Morris (Pakistan) Limited</t>
  </si>
  <si>
    <t>REFINERY</t>
  </si>
  <si>
    <t>ATRL</t>
  </si>
  <si>
    <t>Attock Refinery Limited</t>
  </si>
  <si>
    <t>BYCO</t>
  </si>
  <si>
    <t>Byco Petroleum Pakistan Limited</t>
  </si>
  <si>
    <t>NRL</t>
  </si>
  <si>
    <t>National Refinery Limited</t>
  </si>
  <si>
    <t>PRL</t>
  </si>
  <si>
    <t>Pakistan Refinery Limited</t>
  </si>
  <si>
    <t>POWER GENERATION &amp; DISTRIBUTION</t>
  </si>
  <si>
    <t>ALTN</t>
  </si>
  <si>
    <t>Altern Energy Limited</t>
  </si>
  <si>
    <t>EPQL</t>
  </si>
  <si>
    <t>Engro Powergen Qadirpur Limited</t>
  </si>
  <si>
    <t>HUBC</t>
  </si>
  <si>
    <t>The Hub Power Company Limited</t>
  </si>
  <si>
    <t>AEL</t>
  </si>
  <si>
    <t>Arshad Energy Limited</t>
  </si>
  <si>
    <t>JPGL</t>
  </si>
  <si>
    <t>Japan Power Generation Limited</t>
  </si>
  <si>
    <t>KAPCO</t>
  </si>
  <si>
    <t>Kot Addu Power Company Limited</t>
  </si>
  <si>
    <t>KEL</t>
  </si>
  <si>
    <t>K-Electric Limited</t>
  </si>
  <si>
    <t>KOHE</t>
  </si>
  <si>
    <t>Kohinoor Energy Limited</t>
  </si>
  <si>
    <t>KOHP</t>
  </si>
  <si>
    <t>Kohinoor Power Company Limited</t>
  </si>
  <si>
    <t>LPL</t>
  </si>
  <si>
    <t>Lalpir Power Limited</t>
  </si>
  <si>
    <t>NCPL</t>
  </si>
  <si>
    <t>Nishat Chunian Power Limited</t>
  </si>
  <si>
    <t>NPL</t>
  </si>
  <si>
    <t>Nishat Power Limited</t>
  </si>
  <si>
    <t>PKGP</t>
  </si>
  <si>
    <t>Pakgen Power Limited</t>
  </si>
  <si>
    <t>SEL</t>
  </si>
  <si>
    <t>Sitara Energy Limited</t>
  </si>
  <si>
    <t>SPWL</t>
  </si>
  <si>
    <t>Saif Power Limited</t>
  </si>
  <si>
    <t>TSPL</t>
  </si>
  <si>
    <t>Tri - Star Power Limited</t>
  </si>
  <si>
    <t>GENP</t>
  </si>
  <si>
    <t>Genertech Pakistan Limited</t>
  </si>
  <si>
    <t>SEPCO</t>
  </si>
  <si>
    <t>Southern Electric Power Company Limited</t>
  </si>
  <si>
    <t>SGPL</t>
  </si>
  <si>
    <t>S. G. Power Limited</t>
  </si>
  <si>
    <t>OIL &amp; GAS MARKETING COMPANIES</t>
  </si>
  <si>
    <t>APL</t>
  </si>
  <si>
    <t>Attock Petroleum Limited</t>
  </si>
  <si>
    <t>BPL</t>
  </si>
  <si>
    <t>Burshane LPG (Pakistan) Limited</t>
  </si>
  <si>
    <t>HASCOL</t>
  </si>
  <si>
    <t>Hascol Petroleum Limited</t>
  </si>
  <si>
    <t>HTL</t>
  </si>
  <si>
    <t>Hi-Tech Lubricants Limited</t>
  </si>
  <si>
    <t>PSO</t>
  </si>
  <si>
    <t>Pakistan State Oil Company Limited</t>
  </si>
  <si>
    <t>SHEL</t>
  </si>
  <si>
    <t>Shell Pakistan Limited</t>
  </si>
  <si>
    <t>SNGP</t>
  </si>
  <si>
    <t>Sui Northern Gas Pipelines Limited</t>
  </si>
  <si>
    <t>SSGC</t>
  </si>
  <si>
    <t>Sui Southern Gas Company Limited</t>
  </si>
  <si>
    <t>OIL &amp; GAS EXPLORATION COMPANIES</t>
  </si>
  <si>
    <t>MARI</t>
  </si>
  <si>
    <t>Mari Petroleum Company Limited</t>
  </si>
  <si>
    <t>OGDC</t>
  </si>
  <si>
    <t>Oil &amp; Gas Development Company Limited</t>
  </si>
  <si>
    <t>POL</t>
  </si>
  <si>
    <t>Pakistan Oilfields Limited</t>
  </si>
  <si>
    <t>PPL</t>
  </si>
  <si>
    <t>Pakistan Petroleum Limited</t>
  </si>
  <si>
    <t>ENGINEERING</t>
  </si>
  <si>
    <t>ADOS</t>
  </si>
  <si>
    <t>Ados Pakistan Limited</t>
  </si>
  <si>
    <t>ASL</t>
  </si>
  <si>
    <t>Aisha Steel Mills Limited</t>
  </si>
  <si>
    <t>ASTL</t>
  </si>
  <si>
    <t>Amreli Steels Limited</t>
  </si>
  <si>
    <t>BCL</t>
  </si>
  <si>
    <t>Bolan Castings Limited</t>
  </si>
  <si>
    <t>CSAP</t>
  </si>
  <si>
    <t>Crescent Steel &amp; Allied Products Limited</t>
  </si>
  <si>
    <t>DADX</t>
  </si>
  <si>
    <t>Dadex Eternit Limited</t>
  </si>
  <si>
    <t>DKL</t>
  </si>
  <si>
    <t>Drekkar Kingsway Limited</t>
  </si>
  <si>
    <t>HSPI</t>
  </si>
  <si>
    <t>Huffaz Seamless Pipe Industries Limited</t>
  </si>
  <si>
    <t>INIL</t>
  </si>
  <si>
    <t>International Industries Limited</t>
  </si>
  <si>
    <t>ISL</t>
  </si>
  <si>
    <t>International Steels Limited</t>
  </si>
  <si>
    <t>KSBP</t>
  </si>
  <si>
    <t>KSB Pumps Company Limited</t>
  </si>
  <si>
    <t>MUGHAL</t>
  </si>
  <si>
    <t>Mughal Iron &amp; Steel Industries Limited</t>
  </si>
  <si>
    <t>PECO</t>
  </si>
  <si>
    <t>Pakistan Engineering Company Limited</t>
  </si>
  <si>
    <t>DSL</t>
  </si>
  <si>
    <t>Dost Steels Limited</t>
  </si>
  <si>
    <t>MSCL</t>
  </si>
  <si>
    <t>Metropolitan Steel Corporation Limited</t>
  </si>
  <si>
    <t>QUSW</t>
  </si>
  <si>
    <t>Quality Steel Works Limited</t>
  </si>
  <si>
    <t>AUTOMOBILE ASSEMBLER</t>
  </si>
  <si>
    <t>AGTL</t>
  </si>
  <si>
    <t>Al-Ghazi Tractors Limited</t>
  </si>
  <si>
    <t>ATLH</t>
  </si>
  <si>
    <t>Atlas Honda Limited</t>
  </si>
  <si>
    <t>DFML</t>
  </si>
  <si>
    <t>Dewan Farooque Motors Limited</t>
  </si>
  <si>
    <t>GAIL</t>
  </si>
  <si>
    <t>Ghani Automobile Industries Limited</t>
  </si>
  <si>
    <t>GHNI</t>
  </si>
  <si>
    <t>Ghandhara Industries Limited</t>
  </si>
  <si>
    <t>GHNL</t>
  </si>
  <si>
    <t>Ghandhara Nissan Limited</t>
  </si>
  <si>
    <t>HCAR</t>
  </si>
  <si>
    <t>Honda Atlas Cars (Pakistan) Limited</t>
  </si>
  <si>
    <t>HINO</t>
  </si>
  <si>
    <t>Hinopak Motors Limited</t>
  </si>
  <si>
    <t>INDU</t>
  </si>
  <si>
    <t>Indus Motor Company Limited</t>
  </si>
  <si>
    <t>MTL</t>
  </si>
  <si>
    <t>Millat Tractors Limited</t>
  </si>
  <si>
    <t>PSMC</t>
  </si>
  <si>
    <t>Pak Suzuki Motor Company Limited</t>
  </si>
  <si>
    <t>SAZEW</t>
  </si>
  <si>
    <t>Sazgar Engineering Works Limited</t>
  </si>
  <si>
    <t>AUTOMOBILE PARTS &amp; ACCESSORIES</t>
  </si>
  <si>
    <t>AGIL</t>
  </si>
  <si>
    <t>Agriautos Industries Limited</t>
  </si>
  <si>
    <t>ATBA</t>
  </si>
  <si>
    <t>Atlas Battery Limited</t>
  </si>
  <si>
    <t>BWHL</t>
  </si>
  <si>
    <t>Baluchistan Wheels Limited</t>
  </si>
  <si>
    <t>EXIDE</t>
  </si>
  <si>
    <t>Exide Pakistan Limited</t>
  </si>
  <si>
    <t>GTYR</t>
  </si>
  <si>
    <t>The General Tyre &amp; Rubber Company of Pakistan Ltd.</t>
  </si>
  <si>
    <t>LOADS</t>
  </si>
  <si>
    <t>Loads Limited</t>
  </si>
  <si>
    <t>THALL</t>
  </si>
  <si>
    <t>Thal Limited</t>
  </si>
  <si>
    <t>BELA</t>
  </si>
  <si>
    <t>Bela Automotives Limited</t>
  </si>
  <si>
    <t>DWAE</t>
  </si>
  <si>
    <t>Dewan Automotive Engineering Limited</t>
  </si>
  <si>
    <t>TREI</t>
  </si>
  <si>
    <t>Transmission Engineering Industries Limited</t>
  </si>
  <si>
    <t>CABLE &amp; ELECTRICAL GOODS</t>
  </si>
  <si>
    <t>CECL</t>
  </si>
  <si>
    <t>The Climax Engineering Company Limited</t>
  </si>
  <si>
    <t>EMCO</t>
  </si>
  <si>
    <t>Emco Industries Limited</t>
  </si>
  <si>
    <t>JOPP</t>
  </si>
  <si>
    <t>Johnson &amp; Phillips (Pakistan) Limited</t>
  </si>
  <si>
    <t>PAEL</t>
  </si>
  <si>
    <t>Pak Elektron Limited</t>
  </si>
  <si>
    <t>PCAL</t>
  </si>
  <si>
    <t>Pakistan Cables Limited</t>
  </si>
  <si>
    <t>SIEM</t>
  </si>
  <si>
    <t>Siemens (Pakistan) Engineering Co. Limited</t>
  </si>
  <si>
    <t>SING</t>
  </si>
  <si>
    <t>Singer Pakistan Limited</t>
  </si>
  <si>
    <t>TPL</t>
  </si>
  <si>
    <t>TPL Trakker Limited</t>
  </si>
  <si>
    <t>TRANSPORT</t>
  </si>
  <si>
    <t>PIAA</t>
  </si>
  <si>
    <t>Pakistan International Airline Corporation Limited</t>
  </si>
  <si>
    <t>PIBTL</t>
  </si>
  <si>
    <t>Pakistan International Bulk Terminal Limited</t>
  </si>
  <si>
    <t>PICT</t>
  </si>
  <si>
    <t>Pakistan International Container Terminal Ltd.</t>
  </si>
  <si>
    <t>PNSC</t>
  </si>
  <si>
    <t>Pakistan National Shipping Corporation</t>
  </si>
  <si>
    <t>TECHNOLOGY &amp; COMMUNICATION</t>
  </si>
  <si>
    <t>AVN</t>
  </si>
  <si>
    <t>Avanceon Limited</t>
  </si>
  <si>
    <t>HUMNL</t>
  </si>
  <si>
    <t>Hum Network Limited</t>
  </si>
  <si>
    <t>MDTL</t>
  </si>
  <si>
    <t>Media Times Limited</t>
  </si>
  <si>
    <t>NETSOL</t>
  </si>
  <si>
    <t>NetSol Technologies Limited</t>
  </si>
  <si>
    <t>PAKD</t>
  </si>
  <si>
    <t>Pak Datacom Limited</t>
  </si>
  <si>
    <t>PTC</t>
  </si>
  <si>
    <t>Pakistan Telecommunication Company Ltd.</t>
  </si>
  <si>
    <t>SYS</t>
  </si>
  <si>
    <t>Systems Limited</t>
  </si>
  <si>
    <t>TELE</t>
  </si>
  <si>
    <t>Telecard Limited</t>
  </si>
  <si>
    <t>TRG</t>
  </si>
  <si>
    <t>TRG Pakistan Limited</t>
  </si>
  <si>
    <t>WTL</t>
  </si>
  <si>
    <t>WorldCall Telecom Limited</t>
  </si>
  <si>
    <t>FERTILIZER</t>
  </si>
  <si>
    <t>AHCL</t>
  </si>
  <si>
    <t>Arif Habib Corporation Limited</t>
  </si>
  <si>
    <t>DAWH</t>
  </si>
  <si>
    <t>Dawood Hercules Corporation Limited</t>
  </si>
  <si>
    <t>EFERT</t>
  </si>
  <si>
    <t>Engro Fertilizers Limited</t>
  </si>
  <si>
    <t>ENGRO</t>
  </si>
  <si>
    <t>Engro Corporation Limited</t>
  </si>
  <si>
    <t>FATIMA</t>
  </si>
  <si>
    <t>Fatima Fertilizer Company Limited</t>
  </si>
  <si>
    <t>FFBL</t>
  </si>
  <si>
    <t>Fauji Fertilizer Bin Qasim Limited</t>
  </si>
  <si>
    <t>FFC</t>
  </si>
  <si>
    <t>Fauji Fertilizer Company Limited</t>
  </si>
  <si>
    <t>PHARMACEUTICALS</t>
  </si>
  <si>
    <t>ABOT</t>
  </si>
  <si>
    <t>Abbott Laboratories (Pakistan) Limited</t>
  </si>
  <si>
    <t>FEROZ</t>
  </si>
  <si>
    <t>Ferozsons Laboratories Limited</t>
  </si>
  <si>
    <t>GLAXO</t>
  </si>
  <si>
    <t>GlaxoSmithKline Pakistan Limited</t>
  </si>
  <si>
    <t>HINOON</t>
  </si>
  <si>
    <t>Highnoon Laboratories Limited</t>
  </si>
  <si>
    <t>IBLHL</t>
  </si>
  <si>
    <t>IBL Healthcare Limited</t>
  </si>
  <si>
    <t>OTSU</t>
  </si>
  <si>
    <t>Otsuka Pakistan Limited</t>
  </si>
  <si>
    <t>SAPL</t>
  </si>
  <si>
    <t>Sanofi-Aventis Pakistan Limited</t>
  </si>
  <si>
    <t>SEARL</t>
  </si>
  <si>
    <t>The Searle Company Limited</t>
  </si>
  <si>
    <t>WYETH</t>
  </si>
  <si>
    <t>Wyeth Pakistan Limited</t>
  </si>
  <si>
    <t>CHEMICAL</t>
  </si>
  <si>
    <t>AGL</t>
  </si>
  <si>
    <t>Agritech Limited</t>
  </si>
  <si>
    <t>AKZO</t>
  </si>
  <si>
    <t>Akzo Nobel Pakistan Limited</t>
  </si>
  <si>
    <t>ARPL</t>
  </si>
  <si>
    <t>Archroma Pakistan Limited</t>
  </si>
  <si>
    <t>BAPL</t>
  </si>
  <si>
    <t>Bawany Air Products Limited</t>
  </si>
  <si>
    <t>BERG</t>
  </si>
  <si>
    <t>Berger Paints Pakistan Limited</t>
  </si>
  <si>
    <t>BIFO</t>
  </si>
  <si>
    <t>Biafo Industries Limited</t>
  </si>
  <si>
    <t>BUXL</t>
  </si>
  <si>
    <t>Buxly Paints Limited</t>
  </si>
  <si>
    <t>COLG</t>
  </si>
  <si>
    <t>Colgate - Palmolive (Pakistan) Limited</t>
  </si>
  <si>
    <t>DAAG</t>
  </si>
  <si>
    <t>Data Agro Limited</t>
  </si>
  <si>
    <t>NRSL</t>
  </si>
  <si>
    <t>Nimir Resins Limited</t>
  </si>
  <si>
    <t>DOL</t>
  </si>
  <si>
    <t>Descon Oxychem Limited</t>
  </si>
  <si>
    <t>DYNO</t>
  </si>
  <si>
    <t>Dynea Pakistan Limited</t>
  </si>
  <si>
    <t>EPCL</t>
  </si>
  <si>
    <t>Engro Polymer &amp; Chemicals Limited</t>
  </si>
  <si>
    <t>GGL</t>
  </si>
  <si>
    <t>Ghani Gases Limited</t>
  </si>
  <si>
    <t>ICI</t>
  </si>
  <si>
    <t>ICI Pakistan Limited</t>
  </si>
  <si>
    <t>ICL</t>
  </si>
  <si>
    <t>Ittehad Chemicals Limited</t>
  </si>
  <si>
    <t>LINDE</t>
  </si>
  <si>
    <t>Linde Pakistan Limited</t>
  </si>
  <si>
    <t>LOTCHEM</t>
  </si>
  <si>
    <t>Lotte Chemical Pakistan Limited</t>
  </si>
  <si>
    <t>LPGL</t>
  </si>
  <si>
    <t>Leiner Pak Gelatine Limited</t>
  </si>
  <si>
    <t>NICL</t>
  </si>
  <si>
    <t>Nimir Industrial Chemicals Limited</t>
  </si>
  <si>
    <t>PGCL</t>
  </si>
  <si>
    <t>Pakistan Gum &amp; Chemicals Limited</t>
  </si>
  <si>
    <t>PPVC</t>
  </si>
  <si>
    <t>Pakistan PVC Limited</t>
  </si>
  <si>
    <t>SARC</t>
  </si>
  <si>
    <t>Sardar Chemical Industries Limited</t>
  </si>
  <si>
    <t>SHCI</t>
  </si>
  <si>
    <t>Shaffi Chemical Industries Limited</t>
  </si>
  <si>
    <t>SITC</t>
  </si>
  <si>
    <t>Sitara Chemical Industries Limited</t>
  </si>
  <si>
    <t>SPL</t>
  </si>
  <si>
    <t>Sitara Peroxide Limited</t>
  </si>
  <si>
    <t>WAHN</t>
  </si>
  <si>
    <t>Wah Noble Chemicals Limited</t>
  </si>
  <si>
    <t>PAPER &amp; BOARD</t>
  </si>
  <si>
    <t>BPBL</t>
  </si>
  <si>
    <t>Balochistan Particle Board Limited</t>
  </si>
  <si>
    <t>CEPB</t>
  </si>
  <si>
    <t>Century Paper &amp; Board Mills Limited</t>
  </si>
  <si>
    <t>CPPL</t>
  </si>
  <si>
    <t>Cherat Packaging Limited</t>
  </si>
  <si>
    <t>MERIT</t>
  </si>
  <si>
    <t>Merit Packaging Limited</t>
  </si>
  <si>
    <t>PKGS</t>
  </si>
  <si>
    <t>Packages Limited</t>
  </si>
  <si>
    <t>PPP</t>
  </si>
  <si>
    <t>Pakistan Paper Products Limited</t>
  </si>
  <si>
    <t>SEPL</t>
  </si>
  <si>
    <t>Security Papers Limited</t>
  </si>
  <si>
    <t>ABSON</t>
  </si>
  <si>
    <t>Abson Industries Limited</t>
  </si>
  <si>
    <t>DBSL</t>
  </si>
  <si>
    <t>Dadabhoy Sack Limited</t>
  </si>
  <si>
    <t>VANASPATI &amp; ALLIED INDUSTRIES</t>
  </si>
  <si>
    <t>POML</t>
  </si>
  <si>
    <t>Punjab Oil Mills Limited</t>
  </si>
  <si>
    <t>SSOM</t>
  </si>
  <si>
    <t>S. S. Oil Mills Limited</t>
  </si>
  <si>
    <t>EXTR</t>
  </si>
  <si>
    <t>Extraction (Pakistan) Limited</t>
  </si>
  <si>
    <t>MOIL</t>
  </si>
  <si>
    <t>Morafco Industries Limited</t>
  </si>
  <si>
    <t>SURAJ</t>
  </si>
  <si>
    <t>Suraj Ghee Mills Limited</t>
  </si>
  <si>
    <t>LEATHER &amp; TANNERIES</t>
  </si>
  <si>
    <t>BATA</t>
  </si>
  <si>
    <t>Bata Pakistan Limited</t>
  </si>
  <si>
    <t>LEUL</t>
  </si>
  <si>
    <t>Leather Up Limited</t>
  </si>
  <si>
    <t>SRVI</t>
  </si>
  <si>
    <t>Service Industries Limited</t>
  </si>
  <si>
    <t>FIL</t>
  </si>
  <si>
    <t>Fateh Industries Limited</t>
  </si>
  <si>
    <t>PAKL</t>
  </si>
  <si>
    <t>Pak Leather Crafts Limited</t>
  </si>
  <si>
    <t>FOOD &amp; PERSONAL CARE PRODUCTS</t>
  </si>
  <si>
    <t>ASC</t>
  </si>
  <si>
    <t>Al Shaheer Corporation Limited</t>
  </si>
  <si>
    <t>CLOV</t>
  </si>
  <si>
    <t>Clover Pakistan Limited</t>
  </si>
  <si>
    <t>EFOODS</t>
  </si>
  <si>
    <t>Engro Foods Limited</t>
  </si>
  <si>
    <t>GIL</t>
  </si>
  <si>
    <t>Goodluck Industries Limited</t>
  </si>
  <si>
    <t>GLPL</t>
  </si>
  <si>
    <t>Gillette Pakistan Limited</t>
  </si>
  <si>
    <t>ISIL</t>
  </si>
  <si>
    <t>Ismail Industries Limited</t>
  </si>
  <si>
    <t>MFFL</t>
  </si>
  <si>
    <t>Mitchell's Fruit Farms Limited</t>
  </si>
  <si>
    <t>MUREB</t>
  </si>
  <si>
    <t>Murree Brewery Company Limited</t>
  </si>
  <si>
    <t>NATF</t>
  </si>
  <si>
    <t>National Foods Limited</t>
  </si>
  <si>
    <t>NESTLE</t>
  </si>
  <si>
    <t>Nestle Pakistan Limited</t>
  </si>
  <si>
    <t>FFL</t>
  </si>
  <si>
    <t>Fauji Foods Limited  (Noon Pakistan Limited)</t>
  </si>
  <si>
    <t>QUICE</t>
  </si>
  <si>
    <t>Quice Food Industries Limited</t>
  </si>
  <si>
    <t>RMPL</t>
  </si>
  <si>
    <t>Rafhan Maize Products Limited</t>
  </si>
  <si>
    <t>SCL</t>
  </si>
  <si>
    <t>Shield Corporation Limited</t>
  </si>
  <si>
    <t>SHEZ</t>
  </si>
  <si>
    <t>Shezan International Limited</t>
  </si>
  <si>
    <t>TREET</t>
  </si>
  <si>
    <t>Treet Corporation Limited</t>
  </si>
  <si>
    <t>UPFL</t>
  </si>
  <si>
    <t>Unilever Pakistan Foods Limited</t>
  </si>
  <si>
    <t>ZIL</t>
  </si>
  <si>
    <t>ZIL Limited</t>
  </si>
  <si>
    <t>NMFL</t>
  </si>
  <si>
    <t>Nirala MSR Foods LImited</t>
  </si>
  <si>
    <t>GLASS &amp; CERAMICS</t>
  </si>
  <si>
    <t>BGL</t>
  </si>
  <si>
    <t>Balochistan Glass Limited</t>
  </si>
  <si>
    <t>FRCL</t>
  </si>
  <si>
    <t>Frontier Ceramics Limited</t>
  </si>
  <si>
    <t>GGGL</t>
  </si>
  <si>
    <t>Ghani Global Glass Limited</t>
  </si>
  <si>
    <t>GHGL</t>
  </si>
  <si>
    <t>Ghani Glass Limited</t>
  </si>
  <si>
    <t>GVGL</t>
  </si>
  <si>
    <t>Ghani Value Glass Limited</t>
  </si>
  <si>
    <t>KCL</t>
  </si>
  <si>
    <t>Karam Ceramics Limited</t>
  </si>
  <si>
    <t>STCL</t>
  </si>
  <si>
    <t>Shabbir Tiles &amp; Ceramics Limited</t>
  </si>
  <si>
    <t>TGL</t>
  </si>
  <si>
    <t>Tariq Glass Industries Limited</t>
  </si>
  <si>
    <t>REGAL</t>
  </si>
  <si>
    <t>Regal Ceramics Limited</t>
  </si>
  <si>
    <t>MISCELLANEOUS</t>
  </si>
  <si>
    <t>AKDCL</t>
  </si>
  <si>
    <t>AKD Capital Limited</t>
  </si>
  <si>
    <t>AKGL</t>
  </si>
  <si>
    <t>Al - Khair Gadoon Limited</t>
  </si>
  <si>
    <t>ARPAK</t>
  </si>
  <si>
    <t>Arpak International Investments Limited</t>
  </si>
  <si>
    <t>DIIL</t>
  </si>
  <si>
    <t>Diamond Industries Limited</t>
  </si>
  <si>
    <t>ECOP</t>
  </si>
  <si>
    <t>EcoPack Limited</t>
  </si>
  <si>
    <t>GAMON</t>
  </si>
  <si>
    <t>Gammon Pakistan Limited</t>
  </si>
  <si>
    <t>GOC</t>
  </si>
  <si>
    <t>GOC (Pakistan) Limited</t>
  </si>
  <si>
    <t>HADC</t>
  </si>
  <si>
    <t>Hayderi Construction Company Limited</t>
  </si>
  <si>
    <t>MACFL</t>
  </si>
  <si>
    <t>MacPac Films Limited</t>
  </si>
  <si>
    <t>PACE</t>
  </si>
  <si>
    <t>Pace (Pakistan) Limited</t>
  </si>
  <si>
    <t>PHDL</t>
  </si>
  <si>
    <t>Pakistan Hotels Developers Limited</t>
  </si>
  <si>
    <t>PSEL</t>
  </si>
  <si>
    <t>Pakistan Services Limited</t>
  </si>
  <si>
    <t>SHFA</t>
  </si>
  <si>
    <t>Shifa International Hospitals Limited</t>
  </si>
  <si>
    <t>SPEL</t>
  </si>
  <si>
    <t>Synthetic Products Enterprises Limited</t>
  </si>
  <si>
    <t>STPL</t>
  </si>
  <si>
    <t>Siddiqsons Tin Plate Limited</t>
  </si>
  <si>
    <t>TPLPL</t>
  </si>
  <si>
    <t>TPL Properties Limited</t>
  </si>
  <si>
    <t>TRIPF</t>
  </si>
  <si>
    <t>Tri-Pack Films Limited</t>
  </si>
  <si>
    <t>UBDL</t>
  </si>
  <si>
    <t>United Brands Limited</t>
  </si>
  <si>
    <t>UDPL</t>
  </si>
  <si>
    <t>United Distributors Pakistan Limited</t>
  </si>
  <si>
    <t>DCTL</t>
  </si>
  <si>
    <t>Dadabhoy Construction &amp; Technology Limited</t>
  </si>
  <si>
    <t>HACC</t>
  </si>
  <si>
    <t>Hashimi Can Company Limited</t>
  </si>
  <si>
    <t>MWMP</t>
  </si>
  <si>
    <t>Mandviwalla Mauser Plastic Industries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</si>
</sst>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_);\(#,##0.000\)"/>
    <numFmt numFmtId="165" formatCode="#,##0.000_);[Red]\(#,##0.000\)"/>
    <numFmt numFmtId="167" formatCode="#,##0.0_);\(#,##0.0\)"/>
  </numFmts>
  <fonts count="17" x14ac:knownFonts="1">
    <font>
      <sz val="10"/>
      <name val="Arial"/>
    </font>
    <font>
      <b/>
      <sz val="12"/>
      <name val="Tw Cen MT"/>
      <family val="2"/>
    </font>
    <font>
      <b/>
      <sz val="24"/>
      <color rgb="FF3333FF"/>
      <name val="Tw Cen MT"/>
      <family val="2"/>
    </font>
    <font>
      <sz val="12"/>
      <name val="Tw Cen MT"/>
      <family val="2"/>
    </font>
    <font>
      <sz val="12"/>
      <color indexed="12"/>
      <name val="Tw Cen MT"/>
      <family val="2"/>
    </font>
    <font>
      <sz val="10"/>
      <name val="Tw Cen MT"/>
      <family val="2"/>
    </font>
    <font>
      <sz val="10"/>
      <color indexed="12"/>
      <name val="Tw Cen MT"/>
      <family val="2"/>
    </font>
    <font>
      <b/>
      <sz val="10"/>
      <name val="Tw Cen MT"/>
      <family val="2"/>
    </font>
    <font>
      <b/>
      <sz val="12"/>
      <color indexed="12"/>
      <name val="Tw Cen MT"/>
      <family val="2"/>
    </font>
    <font>
      <b/>
      <i/>
      <sz val="10"/>
      <name val="Tw Cen MT"/>
      <family val="2"/>
    </font>
    <font>
      <b/>
      <i/>
      <sz val="10"/>
      <color indexed="12"/>
      <name val="Tw Cen MT"/>
      <family val="2"/>
    </font>
    <font>
      <b/>
      <sz val="14"/>
      <color indexed="18"/>
      <name val="Tw Cen MT"/>
      <family val="2"/>
    </font>
    <font>
      <sz val="12"/>
      <color rgb="FF3333FF"/>
      <name val="Tw Cen MT"/>
      <family val="2"/>
    </font>
    <font>
      <sz val="10"/>
      <color rgb="FF3333FF"/>
      <name val="Tw Cen MT"/>
      <family val="2"/>
    </font>
    <font>
      <b/>
      <i/>
      <sz val="14"/>
      <color indexed="10"/>
      <name val="Tw Cen MT"/>
      <family val="2"/>
    </font>
    <font>
      <b/>
      <sz val="12"/>
      <color rgb="FF3333FF"/>
      <name val="Tw Cen MT"/>
      <family val="2"/>
    </font>
    <font>
      <i/>
      <sz val="12"/>
      <name val="Tw Cen MT"/>
      <family val="2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7" fillId="3" borderId="4" xfId="0" applyNumberFormat="1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164" fontId="7" fillId="3" borderId="5" xfId="0" applyNumberFormat="1" applyFont="1" applyFill="1" applyBorder="1"/>
    <xf numFmtId="165" fontId="5" fillId="3" borderId="5" xfId="0" applyNumberFormat="1" applyFont="1" applyFill="1" applyBorder="1"/>
    <xf numFmtId="38" fontId="1" fillId="3" borderId="5" xfId="0" applyNumberFormat="1" applyFont="1" applyFill="1" applyBorder="1"/>
    <xf numFmtId="164" fontId="8" fillId="3" borderId="5" xfId="0" applyNumberFormat="1" applyFont="1" applyFill="1" applyBorder="1"/>
    <xf numFmtId="164" fontId="1" fillId="3" borderId="5" xfId="0" applyNumberFormat="1" applyFont="1" applyFill="1" applyBorder="1"/>
    <xf numFmtId="164" fontId="1" fillId="3" borderId="5" xfId="0" applyNumberFormat="1" applyFont="1" applyFill="1" applyBorder="1" applyAlignment="1">
      <alignment horizontal="center"/>
    </xf>
    <xf numFmtId="164" fontId="8" fillId="3" borderId="5" xfId="0" applyNumberFormat="1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165" fontId="1" fillId="3" borderId="7" xfId="0" applyNumberFormat="1" applyFont="1" applyFill="1" applyBorder="1" applyAlignment="1">
      <alignment horizontal="center"/>
    </xf>
    <xf numFmtId="38" fontId="1" fillId="3" borderId="7" xfId="0" applyNumberFormat="1" applyFont="1" applyFill="1" applyBorder="1" applyAlignment="1">
      <alignment horizontal="center"/>
    </xf>
    <xf numFmtId="164" fontId="8" fillId="3" borderId="7" xfId="0" applyNumberFormat="1" applyFont="1" applyFill="1" applyBorder="1" applyAlignment="1">
      <alignment horizontal="center"/>
    </xf>
    <xf numFmtId="164" fontId="7" fillId="3" borderId="7" xfId="0" applyNumberFormat="1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164" fontId="9" fillId="3" borderId="9" xfId="0" applyNumberFormat="1" applyFont="1" applyFill="1" applyBorder="1" applyAlignment="1">
      <alignment horizontal="center"/>
    </xf>
    <xf numFmtId="38" fontId="1" fillId="3" borderId="8" xfId="0" applyNumberFormat="1" applyFont="1" applyFill="1" applyBorder="1" applyAlignment="1">
      <alignment horizontal="center"/>
    </xf>
    <xf numFmtId="164" fontId="10" fillId="3" borderId="9" xfId="0" applyNumberFormat="1" applyFont="1" applyFill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11" fillId="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15" fontId="1" fillId="0" borderId="10" xfId="0" applyNumberFormat="1" applyFont="1" applyBorder="1"/>
    <xf numFmtId="165" fontId="3" fillId="0" borderId="10" xfId="0" applyNumberFormat="1" applyFont="1" applyBorder="1"/>
    <xf numFmtId="167" fontId="3" fillId="0" borderId="10" xfId="0" applyNumberFormat="1" applyFont="1" applyBorder="1" applyAlignment="1">
      <alignment horizontal="center"/>
    </xf>
    <xf numFmtId="165" fontId="12" fillId="0" borderId="10" xfId="0" applyNumberFormat="1" applyFont="1" applyBorder="1"/>
    <xf numFmtId="40" fontId="3" fillId="0" borderId="10" xfId="0" applyNumberFormat="1" applyFont="1" applyBorder="1"/>
    <xf numFmtId="40" fontId="12" fillId="0" borderId="10" xfId="0" applyNumberFormat="1" applyFont="1" applyBorder="1"/>
    <xf numFmtId="37" fontId="3" fillId="0" borderId="10" xfId="0" applyNumberFormat="1" applyFont="1" applyBorder="1"/>
    <xf numFmtId="167" fontId="3" fillId="0" borderId="0" xfId="0" applyNumberFormat="1" applyFont="1" applyBorder="1" applyAlignment="1">
      <alignment horizontal="center"/>
    </xf>
    <xf numFmtId="0" fontId="12" fillId="0" borderId="0" xfId="0" applyFont="1" applyBorder="1"/>
    <xf numFmtId="0" fontId="13" fillId="0" borderId="0" xfId="0" applyFont="1" applyBorder="1"/>
    <xf numFmtId="0" fontId="14" fillId="3" borderId="10" xfId="0" applyFont="1" applyFill="1" applyBorder="1" applyAlignment="1">
      <alignment horizontal="center"/>
    </xf>
    <xf numFmtId="0" fontId="1" fillId="0" borderId="10" xfId="0" applyFont="1" applyFill="1" applyBorder="1"/>
    <xf numFmtId="165" fontId="1" fillId="0" borderId="10" xfId="0" applyNumberFormat="1" applyFont="1" applyBorder="1"/>
    <xf numFmtId="167" fontId="1" fillId="0" borderId="10" xfId="0" applyNumberFormat="1" applyFont="1" applyBorder="1" applyAlignment="1">
      <alignment horizontal="center"/>
    </xf>
    <xf numFmtId="165" fontId="15" fillId="0" borderId="1" xfId="0" applyNumberFormat="1" applyFont="1" applyBorder="1"/>
    <xf numFmtId="165" fontId="15" fillId="0" borderId="10" xfId="0" applyNumberFormat="1" applyFont="1" applyBorder="1"/>
    <xf numFmtId="40" fontId="1" fillId="0" borderId="3" xfId="0" applyNumberFormat="1" applyFont="1" applyBorder="1"/>
    <xf numFmtId="40" fontId="15" fillId="0" borderId="3" xfId="0" applyNumberFormat="1" applyFont="1" applyBorder="1"/>
    <xf numFmtId="38" fontId="1" fillId="0" borderId="10" xfId="0" applyNumberFormat="1" applyFont="1" applyBorder="1"/>
    <xf numFmtId="38" fontId="1" fillId="0" borderId="10" xfId="0" applyNumberFormat="1" applyFont="1" applyBorder="1" applyAlignment="1">
      <alignment horizontal="center"/>
    </xf>
    <xf numFmtId="0" fontId="7" fillId="0" borderId="0" xfId="0" applyFont="1"/>
    <xf numFmtId="0" fontId="14" fillId="3" borderId="4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0" borderId="0" xfId="0" applyFont="1" applyFill="1" applyBorder="1" applyAlignment="1"/>
    <xf numFmtId="0" fontId="1" fillId="0" borderId="0" xfId="0" applyFont="1" applyBorder="1" applyAlignment="1">
      <alignment horizontal="center"/>
    </xf>
    <xf numFmtId="165" fontId="1" fillId="0" borderId="0" xfId="0" applyNumberFormat="1" applyFont="1" applyBorder="1"/>
    <xf numFmtId="15" fontId="1" fillId="0" borderId="0" xfId="0" applyNumberFormat="1" applyFont="1" applyBorder="1"/>
    <xf numFmtId="167" fontId="1" fillId="0" borderId="0" xfId="0" applyNumberFormat="1" applyFont="1" applyBorder="1" applyAlignment="1">
      <alignment horizontal="center"/>
    </xf>
    <xf numFmtId="165" fontId="15" fillId="0" borderId="0" xfId="0" applyNumberFormat="1" applyFont="1" applyBorder="1"/>
    <xf numFmtId="40" fontId="1" fillId="0" borderId="0" xfId="0" applyNumberFormat="1" applyFont="1" applyBorder="1"/>
    <xf numFmtId="40" fontId="15" fillId="0" borderId="0" xfId="0" applyNumberFormat="1" applyFont="1" applyBorder="1"/>
    <xf numFmtId="38" fontId="1" fillId="0" borderId="0" xfId="0" applyNumberFormat="1" applyFont="1" applyBorder="1"/>
    <xf numFmtId="38" fontId="1" fillId="0" borderId="0" xfId="0" applyNumberFormat="1" applyFont="1" applyBorder="1" applyAlignment="1">
      <alignment horizontal="center"/>
    </xf>
    <xf numFmtId="165" fontId="3" fillId="0" borderId="10" xfId="0" applyNumberFormat="1" applyFont="1" applyFill="1" applyBorder="1"/>
    <xf numFmtId="167" fontId="3" fillId="0" borderId="10" xfId="0" applyNumberFormat="1" applyFont="1" applyFill="1" applyBorder="1" applyAlignment="1">
      <alignment horizontal="center"/>
    </xf>
    <xf numFmtId="165" fontId="12" fillId="0" borderId="10" xfId="0" applyNumberFormat="1" applyFont="1" applyFill="1" applyBorder="1"/>
    <xf numFmtId="40" fontId="3" fillId="0" borderId="10" xfId="0" applyNumberFormat="1" applyFont="1" applyFill="1" applyBorder="1"/>
    <xf numFmtId="40" fontId="12" fillId="0" borderId="10" xfId="0" applyNumberFormat="1" applyFont="1" applyFill="1" applyBorder="1"/>
    <xf numFmtId="37" fontId="3" fillId="0" borderId="10" xfId="0" applyNumberFormat="1" applyFont="1" applyFill="1" applyBorder="1"/>
    <xf numFmtId="0" fontId="1" fillId="0" borderId="0" xfId="0" applyFont="1" applyBorder="1"/>
    <xf numFmtId="165" fontId="3" fillId="0" borderId="0" xfId="0" applyNumberFormat="1" applyFont="1" applyBorder="1"/>
    <xf numFmtId="165" fontId="12" fillId="0" borderId="0" xfId="0" applyNumberFormat="1" applyFont="1" applyBorder="1"/>
    <xf numFmtId="40" fontId="3" fillId="0" borderId="0" xfId="0" applyNumberFormat="1" applyFont="1" applyBorder="1"/>
    <xf numFmtId="40" fontId="12" fillId="0" borderId="0" xfId="0" applyNumberFormat="1" applyFont="1" applyBorder="1"/>
    <xf numFmtId="37" fontId="3" fillId="0" borderId="0" xfId="0" applyNumberFormat="1" applyFont="1" applyBorder="1"/>
    <xf numFmtId="0" fontId="16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820"/>
  <sheetViews>
    <sheetView showGridLines="0"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7" sqref="D7"/>
    </sheetView>
  </sheetViews>
  <sheetFormatPr defaultRowHeight="12.75" x14ac:dyDescent="0.2"/>
  <cols>
    <col min="1" max="1" width="3.7109375" style="7" customWidth="1"/>
    <col min="2" max="2" width="8.7109375" style="7" bestFit="1" customWidth="1"/>
    <col min="3" max="3" width="12.7109375" style="7" bestFit="1" customWidth="1"/>
    <col min="4" max="4" width="61.42578125" style="7" customWidth="1"/>
    <col min="5" max="5" width="13.140625" style="7" bestFit="1" customWidth="1"/>
    <col min="6" max="6" width="15" style="7" bestFit="1" customWidth="1"/>
    <col min="7" max="7" width="8.5703125" style="7" bestFit="1" customWidth="1"/>
    <col min="8" max="8" width="13.7109375" style="8" bestFit="1" customWidth="1"/>
    <col min="9" max="9" width="15.5703125" style="7" bestFit="1" customWidth="1"/>
    <col min="10" max="10" width="18.140625" style="7" bestFit="1" customWidth="1"/>
    <col min="11" max="11" width="16.85546875" style="7" bestFit="1" customWidth="1"/>
    <col min="12" max="12" width="13.7109375" style="7" customWidth="1"/>
    <col min="13" max="13" width="15" style="7" bestFit="1" customWidth="1"/>
    <col min="14" max="14" width="14.85546875" style="8" bestFit="1" customWidth="1"/>
    <col min="15" max="15" width="15" style="7" bestFit="1" customWidth="1"/>
    <col min="16" max="18" width="12.5703125" style="7" bestFit="1" customWidth="1"/>
    <col min="19" max="19" width="13.5703125" style="7" bestFit="1" customWidth="1"/>
    <col min="20" max="16384" width="9.140625" style="7"/>
  </cols>
  <sheetData>
    <row r="1" spans="2:19" ht="30" x14ac:dyDescent="0.4">
      <c r="B1" s="1"/>
      <c r="C1" s="1"/>
      <c r="D1" s="2" t="s">
        <v>0</v>
      </c>
      <c r="E1" s="3"/>
      <c r="F1" s="4"/>
      <c r="G1" s="5"/>
      <c r="H1" s="6"/>
    </row>
    <row r="2" spans="2:19" ht="15.75" x14ac:dyDescent="0.25">
      <c r="B2" s="9"/>
      <c r="C2" s="10"/>
      <c r="D2" s="11"/>
      <c r="E2" s="11"/>
      <c r="F2" s="12"/>
      <c r="G2" s="13"/>
      <c r="H2" s="14"/>
      <c r="I2" s="15"/>
      <c r="J2" s="15"/>
      <c r="K2" s="15"/>
      <c r="L2" s="16" t="s">
        <v>1</v>
      </c>
      <c r="M2" s="16" t="s">
        <v>2</v>
      </c>
      <c r="N2" s="17"/>
      <c r="O2" s="16" t="s">
        <v>2</v>
      </c>
      <c r="P2" s="16"/>
      <c r="Q2" s="16"/>
      <c r="R2" s="17"/>
      <c r="S2" s="16" t="s">
        <v>5</v>
      </c>
    </row>
    <row r="3" spans="2:19" ht="15.75" x14ac:dyDescent="0.25">
      <c r="B3" s="18" t="s">
        <v>7</v>
      </c>
      <c r="C3" s="19" t="s">
        <v>8</v>
      </c>
      <c r="D3" s="19"/>
      <c r="E3" s="20" t="s">
        <v>9</v>
      </c>
      <c r="F3" s="20" t="s">
        <v>10</v>
      </c>
      <c r="G3" s="21" t="s">
        <v>11</v>
      </c>
      <c r="H3" s="22" t="s">
        <v>5</v>
      </c>
      <c r="I3" s="19" t="s">
        <v>12</v>
      </c>
      <c r="J3" s="19" t="s">
        <v>3</v>
      </c>
      <c r="K3" s="19" t="s">
        <v>13</v>
      </c>
      <c r="L3" s="19" t="s">
        <v>14</v>
      </c>
      <c r="M3" s="19" t="s">
        <v>15</v>
      </c>
      <c r="N3" s="22" t="s">
        <v>16</v>
      </c>
      <c r="O3" s="19" t="s">
        <v>17</v>
      </c>
      <c r="P3" s="19" t="s">
        <v>18</v>
      </c>
      <c r="Q3" s="19" t="s">
        <v>19</v>
      </c>
      <c r="R3" s="22" t="s">
        <v>3</v>
      </c>
      <c r="S3" s="19" t="s">
        <v>21</v>
      </c>
    </row>
    <row r="4" spans="2:19" ht="15.75" x14ac:dyDescent="0.25">
      <c r="B4" s="18" t="s">
        <v>22</v>
      </c>
      <c r="C4" s="19"/>
      <c r="D4" s="19" t="s">
        <v>23</v>
      </c>
      <c r="E4" s="20" t="s">
        <v>24</v>
      </c>
      <c r="F4" s="20" t="s">
        <v>20</v>
      </c>
      <c r="G4" s="21" t="s">
        <v>25</v>
      </c>
      <c r="H4" s="22" t="s">
        <v>26</v>
      </c>
      <c r="I4" s="19"/>
      <c r="J4" s="19" t="s">
        <v>4</v>
      </c>
      <c r="K4" s="23" t="s">
        <v>27</v>
      </c>
      <c r="L4" s="19" t="s">
        <v>28</v>
      </c>
      <c r="M4" s="19" t="s">
        <v>16</v>
      </c>
      <c r="N4" s="22"/>
      <c r="O4" s="19" t="s">
        <v>16</v>
      </c>
      <c r="P4" s="19" t="s">
        <v>6</v>
      </c>
      <c r="Q4" s="19" t="s">
        <v>6</v>
      </c>
      <c r="R4" s="22" t="s">
        <v>6</v>
      </c>
      <c r="S4" s="19" t="s">
        <v>29</v>
      </c>
    </row>
    <row r="5" spans="2:19" ht="15.75" x14ac:dyDescent="0.25">
      <c r="B5" s="24"/>
      <c r="C5" s="25"/>
      <c r="D5" s="25"/>
      <c r="E5" s="25"/>
      <c r="F5" s="26" t="s">
        <v>30</v>
      </c>
      <c r="G5" s="27"/>
      <c r="H5" s="28" t="s">
        <v>31</v>
      </c>
      <c r="I5" s="26" t="s">
        <v>30</v>
      </c>
      <c r="J5" s="26" t="s">
        <v>30</v>
      </c>
      <c r="K5" s="26" t="s">
        <v>30</v>
      </c>
      <c r="L5" s="26" t="s">
        <v>30</v>
      </c>
      <c r="M5" s="26" t="s">
        <v>30</v>
      </c>
      <c r="N5" s="28" t="s">
        <v>30</v>
      </c>
      <c r="O5" s="26" t="s">
        <v>30</v>
      </c>
      <c r="P5" s="26" t="s">
        <v>32</v>
      </c>
      <c r="Q5" s="26" t="s">
        <v>32</v>
      </c>
      <c r="R5" s="28" t="s">
        <v>32</v>
      </c>
      <c r="S5" s="25" t="s">
        <v>33</v>
      </c>
    </row>
    <row r="6" spans="2:19" ht="15.75" x14ac:dyDescent="0.25">
      <c r="B6" s="29"/>
      <c r="C6" s="29"/>
      <c r="D6" s="29"/>
      <c r="E6" s="29"/>
      <c r="F6" s="29"/>
      <c r="G6" s="29"/>
      <c r="H6" s="30"/>
      <c r="I6" s="31"/>
      <c r="J6" s="31"/>
      <c r="K6" s="31"/>
      <c r="L6" s="31"/>
      <c r="M6" s="31"/>
      <c r="N6" s="32"/>
      <c r="O6" s="31"/>
      <c r="P6" s="31"/>
      <c r="Q6" s="31"/>
      <c r="R6" s="32"/>
      <c r="S6" s="31"/>
    </row>
    <row r="7" spans="2:19" ht="18.75" x14ac:dyDescent="0.3">
      <c r="B7" s="29"/>
      <c r="C7" s="33">
        <v>1</v>
      </c>
      <c r="D7" s="33" t="s">
        <v>34</v>
      </c>
      <c r="E7" s="29"/>
      <c r="F7" s="29"/>
      <c r="G7" s="29"/>
      <c r="H7" s="30"/>
      <c r="I7" s="31"/>
      <c r="J7" s="31"/>
      <c r="K7" s="31"/>
      <c r="L7" s="31"/>
      <c r="M7" s="31"/>
      <c r="N7" s="32"/>
      <c r="O7" s="31"/>
      <c r="P7" s="31"/>
      <c r="Q7" s="31"/>
      <c r="R7" s="32"/>
      <c r="S7" s="31"/>
    </row>
    <row r="8" spans="2:19" ht="15.75" x14ac:dyDescent="0.25">
      <c r="B8" s="29"/>
      <c r="C8" s="29"/>
      <c r="D8" s="29"/>
      <c r="E8" s="29"/>
      <c r="F8" s="29"/>
      <c r="G8" s="29"/>
      <c r="H8" s="30"/>
      <c r="I8" s="31"/>
      <c r="J8" s="31"/>
      <c r="K8" s="31"/>
      <c r="L8" s="31"/>
      <c r="M8" s="31"/>
      <c r="N8" s="32"/>
      <c r="O8" s="31"/>
      <c r="P8" s="31"/>
      <c r="Q8" s="31"/>
      <c r="R8" s="32"/>
      <c r="S8" s="31"/>
    </row>
    <row r="9" spans="2:19" ht="15.75" x14ac:dyDescent="0.25">
      <c r="B9" s="34">
        <v>1</v>
      </c>
      <c r="C9" s="34" t="s">
        <v>35</v>
      </c>
      <c r="D9" s="35" t="s">
        <v>36</v>
      </c>
      <c r="E9" s="36">
        <v>42551</v>
      </c>
      <c r="F9" s="37">
        <v>580.75</v>
      </c>
      <c r="G9" s="38">
        <v>10</v>
      </c>
      <c r="H9" s="39">
        <f>+F9/G9</f>
        <v>58.075000000000003</v>
      </c>
      <c r="I9" s="37"/>
      <c r="J9" s="37"/>
      <c r="K9" s="37"/>
      <c r="L9" s="37"/>
      <c r="M9" s="37">
        <v>-72.248000000000005</v>
      </c>
      <c r="N9" s="39">
        <f>+M9-O9</f>
        <v>0</v>
      </c>
      <c r="O9" s="37">
        <v>-72.248000000000005</v>
      </c>
      <c r="P9" s="40">
        <v>0</v>
      </c>
      <c r="Q9" s="40">
        <v>0</v>
      </c>
      <c r="R9" s="41">
        <f>SUM(P9:Q9)</f>
        <v>0</v>
      </c>
      <c r="S9" s="42"/>
    </row>
    <row r="10" spans="2:19" ht="15.75" x14ac:dyDescent="0.25">
      <c r="B10" s="34">
        <f>+B9+1</f>
        <v>2</v>
      </c>
      <c r="C10" s="34" t="s">
        <v>37</v>
      </c>
      <c r="D10" s="35" t="s">
        <v>38</v>
      </c>
      <c r="E10" s="36">
        <v>42551</v>
      </c>
      <c r="F10" s="37">
        <v>760.49199999999996</v>
      </c>
      <c r="G10" s="38">
        <v>5</v>
      </c>
      <c r="H10" s="39">
        <f>+F10/G10</f>
        <v>152.0984</v>
      </c>
      <c r="I10" s="37">
        <v>1714.3150000000001</v>
      </c>
      <c r="J10" s="37">
        <v>1830.2439999999999</v>
      </c>
      <c r="K10" s="37">
        <v>213.84399999999999</v>
      </c>
      <c r="L10" s="37">
        <v>0</v>
      </c>
      <c r="M10" s="37">
        <v>159.63200000000001</v>
      </c>
      <c r="N10" s="39">
        <f>+M10-O10</f>
        <v>0</v>
      </c>
      <c r="O10" s="37">
        <v>159.63200000000001</v>
      </c>
      <c r="P10" s="40">
        <f>21</f>
        <v>21</v>
      </c>
      <c r="Q10" s="40">
        <v>0</v>
      </c>
      <c r="R10" s="41">
        <f>SUM(P10:Q10)</f>
        <v>21</v>
      </c>
      <c r="S10" s="42">
        <v>6407</v>
      </c>
    </row>
    <row r="11" spans="2:19" ht="15.75" x14ac:dyDescent="0.25">
      <c r="B11" s="34">
        <f>+B10+1</f>
        <v>3</v>
      </c>
      <c r="C11" s="34" t="s">
        <v>39</v>
      </c>
      <c r="D11" s="35" t="s">
        <v>40</v>
      </c>
      <c r="E11" s="36">
        <v>42551</v>
      </c>
      <c r="F11" s="37">
        <v>2835</v>
      </c>
      <c r="G11" s="38">
        <v>10</v>
      </c>
      <c r="H11" s="39">
        <f>+F11/G11</f>
        <v>283.5</v>
      </c>
      <c r="I11" s="37">
        <v>11830.393</v>
      </c>
      <c r="J11" s="37">
        <v>12235.199000000001</v>
      </c>
      <c r="K11" s="37">
        <v>775.58799999999997</v>
      </c>
      <c r="L11" s="37">
        <v>0</v>
      </c>
      <c r="M11" s="37">
        <v>455.73500000000001</v>
      </c>
      <c r="N11" s="39">
        <f>+M11-O11</f>
        <v>0</v>
      </c>
      <c r="O11" s="37">
        <v>455.73500000000001</v>
      </c>
      <c r="P11" s="40">
        <f>7.5</f>
        <v>7.5</v>
      </c>
      <c r="Q11" s="40">
        <v>0</v>
      </c>
      <c r="R11" s="41">
        <f>SUM(P11:Q11)</f>
        <v>7.5</v>
      </c>
      <c r="S11" s="42">
        <v>10222</v>
      </c>
    </row>
    <row r="12" spans="2:19" ht="15.75" x14ac:dyDescent="0.25">
      <c r="B12" s="34">
        <f>+B11+1</f>
        <v>4</v>
      </c>
      <c r="C12" s="34" t="s">
        <v>41</v>
      </c>
      <c r="D12" s="35" t="s">
        <v>42</v>
      </c>
      <c r="E12" s="36">
        <v>42551</v>
      </c>
      <c r="F12" s="37">
        <v>2841.25</v>
      </c>
      <c r="G12" s="38">
        <v>10</v>
      </c>
      <c r="H12" s="39">
        <f>+F12/G12</f>
        <v>284.125</v>
      </c>
      <c r="I12" s="37">
        <v>5251.26</v>
      </c>
      <c r="J12" s="37">
        <v>5470.6760000000004</v>
      </c>
      <c r="K12" s="37">
        <v>391.13</v>
      </c>
      <c r="L12" s="37">
        <v>0</v>
      </c>
      <c r="M12" s="37">
        <v>245.059</v>
      </c>
      <c r="N12" s="39">
        <f>+M12-O12</f>
        <v>0</v>
      </c>
      <c r="O12" s="37">
        <v>245.059</v>
      </c>
      <c r="P12" s="40">
        <f>4.2</f>
        <v>4.2</v>
      </c>
      <c r="Q12" s="40">
        <v>0</v>
      </c>
      <c r="R12" s="41">
        <f>SUM(P12:Q12)</f>
        <v>4.2</v>
      </c>
      <c r="S12" s="42">
        <v>16031</v>
      </c>
    </row>
    <row r="13" spans="2:19" ht="15.75" x14ac:dyDescent="0.25">
      <c r="B13" s="34">
        <f>+B12+1</f>
        <v>5</v>
      </c>
      <c r="C13" s="34" t="s">
        <v>43</v>
      </c>
      <c r="D13" s="35" t="s">
        <v>44</v>
      </c>
      <c r="E13" s="36">
        <v>42551</v>
      </c>
      <c r="F13" s="37">
        <v>50</v>
      </c>
      <c r="G13" s="38">
        <v>10</v>
      </c>
      <c r="H13" s="39">
        <f>+F13/G13</f>
        <v>5</v>
      </c>
      <c r="I13" s="37">
        <v>124.25611000000001</v>
      </c>
      <c r="J13" s="37">
        <v>454.59631400000001</v>
      </c>
      <c r="K13" s="37">
        <v>-1.2465550000000001</v>
      </c>
      <c r="L13" s="37">
        <v>0</v>
      </c>
      <c r="M13" s="37">
        <v>-3.038916</v>
      </c>
      <c r="N13" s="39">
        <f>+M13-O13</f>
        <v>0</v>
      </c>
      <c r="O13" s="37">
        <v>-3.038916</v>
      </c>
      <c r="P13" s="40">
        <v>0</v>
      </c>
      <c r="Q13" s="40">
        <v>0</v>
      </c>
      <c r="R13" s="41">
        <f>SUM(P13:Q13)</f>
        <v>0</v>
      </c>
      <c r="S13" s="42">
        <v>2756</v>
      </c>
    </row>
    <row r="14" spans="2:19" ht="15.75" x14ac:dyDescent="0.25">
      <c r="B14" s="29"/>
      <c r="C14" s="29"/>
      <c r="D14" s="29"/>
      <c r="E14" s="29"/>
      <c r="F14" s="29"/>
      <c r="G14" s="43"/>
      <c r="H14" s="44"/>
      <c r="I14" s="31"/>
      <c r="J14" s="31"/>
      <c r="K14" s="31"/>
      <c r="L14" s="31"/>
      <c r="M14" s="31"/>
      <c r="N14" s="45"/>
      <c r="O14" s="31"/>
      <c r="P14" s="31"/>
      <c r="Q14" s="31"/>
      <c r="R14" s="45"/>
      <c r="S14" s="31"/>
    </row>
    <row r="15" spans="2:19" ht="18.75" x14ac:dyDescent="0.3">
      <c r="B15" s="29"/>
      <c r="C15" s="29"/>
      <c r="D15" s="46" t="s">
        <v>45</v>
      </c>
      <c r="E15" s="29"/>
      <c r="F15" s="29"/>
      <c r="G15" s="43"/>
      <c r="H15" s="44"/>
      <c r="I15" s="31"/>
      <c r="J15" s="31"/>
      <c r="K15" s="31"/>
      <c r="L15" s="31"/>
      <c r="M15" s="31"/>
      <c r="N15" s="45"/>
      <c r="O15" s="31"/>
      <c r="P15" s="31"/>
      <c r="Q15" s="31"/>
      <c r="R15" s="45"/>
      <c r="S15" s="31"/>
    </row>
    <row r="16" spans="2:19" ht="15.75" x14ac:dyDescent="0.25">
      <c r="B16" s="34">
        <v>1</v>
      </c>
      <c r="C16" s="34" t="s">
        <v>46</v>
      </c>
      <c r="D16" s="35" t="s">
        <v>47</v>
      </c>
      <c r="E16" s="36">
        <v>42551</v>
      </c>
      <c r="F16" s="37"/>
      <c r="G16" s="38">
        <v>10</v>
      </c>
      <c r="H16" s="39">
        <f>+F16/G16</f>
        <v>0</v>
      </c>
      <c r="I16" s="37"/>
      <c r="J16" s="37"/>
      <c r="K16" s="37"/>
      <c r="L16" s="37"/>
      <c r="M16" s="37"/>
      <c r="N16" s="39">
        <f>+M16-O16</f>
        <v>0</v>
      </c>
      <c r="O16" s="37"/>
      <c r="P16" s="40"/>
      <c r="Q16" s="40"/>
      <c r="R16" s="41">
        <f>SUM(P16:Q16)</f>
        <v>0</v>
      </c>
      <c r="S16" s="42"/>
    </row>
    <row r="17" spans="2:19" ht="15.75" x14ac:dyDescent="0.25">
      <c r="B17" s="34">
        <f>+B16+1</f>
        <v>2</v>
      </c>
      <c r="C17" s="34" t="s">
        <v>48</v>
      </c>
      <c r="D17" s="47" t="s">
        <v>49</v>
      </c>
      <c r="E17" s="36">
        <v>42551</v>
      </c>
      <c r="F17" s="37"/>
      <c r="G17" s="38">
        <v>10</v>
      </c>
      <c r="H17" s="39">
        <f>+F17/G17</f>
        <v>0</v>
      </c>
      <c r="I17" s="37"/>
      <c r="J17" s="37"/>
      <c r="K17" s="37"/>
      <c r="L17" s="37"/>
      <c r="M17" s="37"/>
      <c r="N17" s="39">
        <f>+M17-O17</f>
        <v>0</v>
      </c>
      <c r="O17" s="37"/>
      <c r="P17" s="40"/>
      <c r="Q17" s="40"/>
      <c r="R17" s="41">
        <f>SUM(P17:Q17)</f>
        <v>0</v>
      </c>
      <c r="S17" s="42"/>
    </row>
    <row r="18" spans="2:19" ht="15.75" x14ac:dyDescent="0.25">
      <c r="B18" s="34">
        <f>+B17+1</f>
        <v>3</v>
      </c>
      <c r="C18" s="34" t="s">
        <v>50</v>
      </c>
      <c r="D18" s="35" t="s">
        <v>51</v>
      </c>
      <c r="E18" s="36">
        <v>42551</v>
      </c>
      <c r="F18" s="37"/>
      <c r="G18" s="38">
        <v>10</v>
      </c>
      <c r="H18" s="39">
        <f>+F18/G18</f>
        <v>0</v>
      </c>
      <c r="I18" s="37"/>
      <c r="J18" s="37"/>
      <c r="K18" s="37"/>
      <c r="L18" s="37"/>
      <c r="M18" s="37"/>
      <c r="N18" s="39">
        <f>+M18-O18</f>
        <v>0</v>
      </c>
      <c r="O18" s="37"/>
      <c r="P18" s="40"/>
      <c r="Q18" s="40"/>
      <c r="R18" s="41">
        <f>SUM(P18:Q18)</f>
        <v>0</v>
      </c>
      <c r="S18" s="42"/>
    </row>
    <row r="19" spans="2:19" ht="15.75" x14ac:dyDescent="0.25">
      <c r="B19" s="29"/>
      <c r="C19" s="29"/>
      <c r="D19" s="29"/>
      <c r="E19" s="29"/>
      <c r="F19" s="29"/>
      <c r="G19" s="43"/>
      <c r="H19" s="44"/>
      <c r="I19" s="31"/>
      <c r="J19" s="31"/>
      <c r="K19" s="31"/>
      <c r="L19" s="31"/>
      <c r="M19" s="31"/>
      <c r="N19" s="45"/>
      <c r="O19" s="31"/>
      <c r="P19" s="31"/>
      <c r="Q19" s="31"/>
      <c r="R19" s="45"/>
      <c r="S19" s="31"/>
    </row>
    <row r="20" spans="2:19" s="56" customFormat="1" ht="15.75" x14ac:dyDescent="0.25">
      <c r="B20" s="34">
        <f>COUNT(B9:B19)</f>
        <v>8</v>
      </c>
      <c r="C20" s="34"/>
      <c r="D20" s="48"/>
      <c r="E20" s="48"/>
      <c r="F20" s="48">
        <f>SUM(F9:F19)</f>
        <v>7067.4920000000002</v>
      </c>
      <c r="G20" s="49"/>
      <c r="H20" s="50">
        <f t="shared" ref="H20:N20" si="0">SUM(H9:H19)</f>
        <v>782.79840000000002</v>
      </c>
      <c r="I20" s="48">
        <f t="shared" si="0"/>
        <v>18920.224109999999</v>
      </c>
      <c r="J20" s="48">
        <f t="shared" si="0"/>
        <v>19990.715314000001</v>
      </c>
      <c r="K20" s="48">
        <f t="shared" si="0"/>
        <v>1379.315445</v>
      </c>
      <c r="L20" s="48">
        <f t="shared" si="0"/>
        <v>0</v>
      </c>
      <c r="M20" s="48">
        <f>SUM(M9:M19)</f>
        <v>785.13908400000003</v>
      </c>
      <c r="N20" s="51">
        <f t="shared" si="0"/>
        <v>0</v>
      </c>
      <c r="O20" s="48">
        <f>SUM(O9:O19)</f>
        <v>785.13908400000003</v>
      </c>
      <c r="P20" s="52"/>
      <c r="Q20" s="52"/>
      <c r="R20" s="53"/>
      <c r="S20" s="54">
        <f>SUM(S9:S19)</f>
        <v>35416</v>
      </c>
    </row>
    <row r="21" spans="2:19" ht="15.75" x14ac:dyDescent="0.25">
      <c r="B21" s="29"/>
      <c r="C21" s="29"/>
      <c r="D21" s="29"/>
      <c r="E21" s="29"/>
      <c r="F21" s="29"/>
      <c r="G21" s="43"/>
      <c r="H21" s="44"/>
      <c r="I21" s="31"/>
      <c r="J21" s="31"/>
      <c r="K21" s="31"/>
      <c r="L21" s="31"/>
      <c r="M21" s="31"/>
      <c r="N21" s="45"/>
      <c r="O21" s="31"/>
      <c r="P21" s="31"/>
      <c r="Q21" s="31"/>
      <c r="R21" s="45"/>
      <c r="S21" s="31"/>
    </row>
    <row r="22" spans="2:19" ht="15.75" x14ac:dyDescent="0.25">
      <c r="B22" s="29"/>
      <c r="C22" s="29"/>
      <c r="D22" s="29"/>
      <c r="E22" s="29"/>
      <c r="F22" s="29"/>
      <c r="G22" s="43"/>
      <c r="H22" s="44"/>
      <c r="I22" s="31"/>
      <c r="J22" s="31"/>
      <c r="K22" s="31"/>
      <c r="L22" s="31"/>
      <c r="M22" s="31"/>
      <c r="N22" s="45"/>
      <c r="O22" s="31"/>
      <c r="P22" s="31"/>
      <c r="Q22" s="31"/>
      <c r="R22" s="45"/>
      <c r="S22" s="31"/>
    </row>
    <row r="23" spans="2:19" ht="18.75" x14ac:dyDescent="0.3">
      <c r="B23" s="29"/>
      <c r="C23" s="33">
        <v>2</v>
      </c>
      <c r="D23" s="33" t="s">
        <v>52</v>
      </c>
      <c r="E23" s="29"/>
      <c r="F23" s="29"/>
      <c r="G23" s="43"/>
      <c r="H23" s="44"/>
      <c r="I23" s="31"/>
      <c r="J23" s="31"/>
      <c r="K23" s="31"/>
      <c r="L23" s="31"/>
      <c r="M23" s="31"/>
      <c r="N23" s="45"/>
      <c r="O23" s="31"/>
      <c r="P23" s="31"/>
      <c r="Q23" s="31"/>
      <c r="R23" s="45"/>
      <c r="S23" s="31"/>
    </row>
    <row r="24" spans="2:19" ht="15.75" x14ac:dyDescent="0.25">
      <c r="B24" s="29"/>
      <c r="C24" s="29"/>
      <c r="D24" s="29"/>
      <c r="E24" s="29"/>
      <c r="F24" s="29"/>
      <c r="G24" s="43"/>
      <c r="H24" s="44"/>
      <c r="I24" s="31"/>
      <c r="J24" s="31"/>
      <c r="K24" s="31"/>
      <c r="L24" s="31"/>
      <c r="M24" s="31"/>
      <c r="N24" s="45"/>
      <c r="O24" s="31"/>
      <c r="P24" s="31"/>
      <c r="Q24" s="31"/>
      <c r="R24" s="45"/>
      <c r="S24" s="31"/>
    </row>
    <row r="25" spans="2:19" ht="15.75" x14ac:dyDescent="0.25">
      <c r="B25" s="34">
        <v>1</v>
      </c>
      <c r="C25" s="34" t="s">
        <v>53</v>
      </c>
      <c r="D25" s="35" t="s">
        <v>54</v>
      </c>
      <c r="E25" s="36">
        <v>42551</v>
      </c>
      <c r="F25" s="37">
        <v>1755</v>
      </c>
      <c r="G25" s="38">
        <v>10</v>
      </c>
      <c r="H25" s="39">
        <f t="shared" ref="H25:H52" si="1">+F25/G25</f>
        <v>175.5</v>
      </c>
      <c r="I25" s="37">
        <v>4382.1727860000001</v>
      </c>
      <c r="J25" s="37">
        <v>7211.3499979999997</v>
      </c>
      <c r="K25" s="37">
        <v>2697.9621950000001</v>
      </c>
      <c r="L25" s="37">
        <v>139.728138</v>
      </c>
      <c r="M25" s="37">
        <v>294.34887199999997</v>
      </c>
      <c r="N25" s="39">
        <f t="shared" ref="N25:N52" si="2">+M25-O25</f>
        <v>0</v>
      </c>
      <c r="O25" s="37">
        <v>294.34887199999997</v>
      </c>
      <c r="P25" s="40">
        <f>10</f>
        <v>10</v>
      </c>
      <c r="Q25" s="40">
        <v>0</v>
      </c>
      <c r="R25" s="41">
        <f t="shared" ref="R25:R52" si="3">SUM(P25:Q25)</f>
        <v>10</v>
      </c>
      <c r="S25" s="42">
        <v>437</v>
      </c>
    </row>
    <row r="26" spans="2:19" ht="15.75" x14ac:dyDescent="0.25">
      <c r="B26" s="34">
        <f>+B25+1</f>
        <v>2</v>
      </c>
      <c r="C26" s="34" t="s">
        <v>55</v>
      </c>
      <c r="D26" s="35" t="s">
        <v>56</v>
      </c>
      <c r="E26" s="36">
        <v>42551</v>
      </c>
      <c r="F26" s="37">
        <v>1000</v>
      </c>
      <c r="G26" s="38">
        <v>10</v>
      </c>
      <c r="H26" s="39">
        <f>+F26/G26</f>
        <v>100</v>
      </c>
      <c r="I26" s="37">
        <v>1028.442871</v>
      </c>
      <c r="J26" s="37">
        <v>1043.0510750000001</v>
      </c>
      <c r="K26" s="37">
        <v>61.923689000000003</v>
      </c>
      <c r="L26" s="37">
        <v>3.0330000000000001E-3</v>
      </c>
      <c r="M26" s="37">
        <v>28.442871</v>
      </c>
      <c r="N26" s="39">
        <f>+M26-O26</f>
        <v>0</v>
      </c>
      <c r="O26" s="37">
        <v>28.442871</v>
      </c>
      <c r="P26" s="40">
        <f>2.27</f>
        <v>2.27</v>
      </c>
      <c r="Q26" s="40">
        <v>0</v>
      </c>
      <c r="R26" s="41">
        <f>SUM(P26:Q26)</f>
        <v>2.27</v>
      </c>
      <c r="S26" s="42">
        <v>361</v>
      </c>
    </row>
    <row r="27" spans="2:19" ht="15.75" x14ac:dyDescent="0.25">
      <c r="B27" s="34">
        <f>+B26+1</f>
        <v>3</v>
      </c>
      <c r="C27" s="34" t="s">
        <v>57</v>
      </c>
      <c r="D27" s="35" t="s">
        <v>58</v>
      </c>
      <c r="E27" s="36">
        <v>42551</v>
      </c>
      <c r="F27" s="37">
        <v>75.151587000000006</v>
      </c>
      <c r="G27" s="38">
        <v>10</v>
      </c>
      <c r="H27" s="39">
        <f t="shared" si="1"/>
        <v>7.5151587000000006</v>
      </c>
      <c r="I27" s="37">
        <v>123.74237100000001</v>
      </c>
      <c r="J27" s="37">
        <v>157.758779</v>
      </c>
      <c r="K27" s="37">
        <v>17.761703000000001</v>
      </c>
      <c r="L27" s="37">
        <v>0</v>
      </c>
      <c r="M27" s="37">
        <v>10.742839</v>
      </c>
      <c r="N27" s="39">
        <f t="shared" si="2"/>
        <v>0.51807200000000009</v>
      </c>
      <c r="O27" s="37">
        <v>10.224767</v>
      </c>
      <c r="P27" s="40">
        <f>6.5</f>
        <v>6.5</v>
      </c>
      <c r="Q27" s="40">
        <v>0</v>
      </c>
      <c r="R27" s="41">
        <f t="shared" si="3"/>
        <v>6.5</v>
      </c>
      <c r="S27" s="42">
        <v>1292</v>
      </c>
    </row>
    <row r="28" spans="2:19" ht="15.75" x14ac:dyDescent="0.25">
      <c r="B28" s="34">
        <f t="shared" ref="B28:B52" si="4">+B27+1</f>
        <v>4</v>
      </c>
      <c r="C28" s="34" t="s">
        <v>59</v>
      </c>
      <c r="D28" s="35" t="s">
        <v>60</v>
      </c>
      <c r="E28" s="36">
        <v>42551</v>
      </c>
      <c r="F28" s="37">
        <v>780.46254999999996</v>
      </c>
      <c r="G28" s="38">
        <v>10</v>
      </c>
      <c r="H28" s="39">
        <f t="shared" si="1"/>
        <v>78.046255000000002</v>
      </c>
      <c r="I28" s="37">
        <v>1056.59845</v>
      </c>
      <c r="J28" s="37">
        <v>2078.2859539999999</v>
      </c>
      <c r="K28" s="37">
        <v>277.566079</v>
      </c>
      <c r="L28" s="37">
        <v>37.314166999999998</v>
      </c>
      <c r="M28" s="37">
        <v>46.717979999999997</v>
      </c>
      <c r="N28" s="39">
        <f t="shared" si="2"/>
        <v>0</v>
      </c>
      <c r="O28" s="37">
        <v>46.717979999999997</v>
      </c>
      <c r="P28" s="40">
        <f>2.7</f>
        <v>2.7</v>
      </c>
      <c r="Q28" s="40">
        <v>0</v>
      </c>
      <c r="R28" s="41">
        <f t="shared" si="3"/>
        <v>2.7</v>
      </c>
      <c r="S28" s="42">
        <v>6679</v>
      </c>
    </row>
    <row r="29" spans="2:19" ht="15.75" x14ac:dyDescent="0.25">
      <c r="B29" s="34">
        <f t="shared" si="4"/>
        <v>5</v>
      </c>
      <c r="C29" s="34" t="s">
        <v>61</v>
      </c>
      <c r="D29" s="35" t="s">
        <v>62</v>
      </c>
      <c r="E29" s="36">
        <v>42551</v>
      </c>
      <c r="F29" s="37">
        <v>200</v>
      </c>
      <c r="G29" s="38">
        <v>10</v>
      </c>
      <c r="H29" s="39">
        <f t="shared" si="1"/>
        <v>20</v>
      </c>
      <c r="I29" s="37">
        <v>125.05206</v>
      </c>
      <c r="J29" s="37">
        <v>155.64638299999999</v>
      </c>
      <c r="K29" s="37">
        <v>37.264533</v>
      </c>
      <c r="L29" s="37">
        <v>1.281E-3</v>
      </c>
      <c r="M29" s="37">
        <v>7.2573720000000002</v>
      </c>
      <c r="N29" s="39">
        <f t="shared" si="2"/>
        <v>0</v>
      </c>
      <c r="O29" s="37">
        <v>7.2573720000000002</v>
      </c>
      <c r="P29" s="40">
        <f>1.65</f>
        <v>1.65</v>
      </c>
      <c r="Q29" s="40">
        <v>0</v>
      </c>
      <c r="R29" s="41">
        <f t="shared" si="3"/>
        <v>1.65</v>
      </c>
      <c r="S29" s="42">
        <v>1645</v>
      </c>
    </row>
    <row r="30" spans="2:19" ht="15.75" x14ac:dyDescent="0.25">
      <c r="B30" s="34">
        <f t="shared" si="4"/>
        <v>6</v>
      </c>
      <c r="C30" s="34" t="s">
        <v>63</v>
      </c>
      <c r="D30" s="35" t="s">
        <v>64</v>
      </c>
      <c r="E30" s="36">
        <v>42551</v>
      </c>
      <c r="F30" s="37">
        <v>210</v>
      </c>
      <c r="G30" s="38">
        <v>10</v>
      </c>
      <c r="H30" s="39">
        <f t="shared" si="1"/>
        <v>21</v>
      </c>
      <c r="I30" s="37">
        <v>292.22678300000001</v>
      </c>
      <c r="J30" s="37">
        <v>356.938445</v>
      </c>
      <c r="K30" s="37">
        <v>26.284908000000001</v>
      </c>
      <c r="L30" s="37">
        <v>7.7000000000000002E-3</v>
      </c>
      <c r="M30" s="37">
        <v>0.117799</v>
      </c>
      <c r="N30" s="39">
        <f t="shared" si="2"/>
        <v>0</v>
      </c>
      <c r="O30" s="37">
        <v>0.117799</v>
      </c>
      <c r="P30" s="40">
        <v>0</v>
      </c>
      <c r="Q30" s="40">
        <v>0</v>
      </c>
      <c r="R30" s="41">
        <f t="shared" si="3"/>
        <v>0</v>
      </c>
      <c r="S30" s="42">
        <v>642</v>
      </c>
    </row>
    <row r="31" spans="2:19" ht="15.75" x14ac:dyDescent="0.25">
      <c r="B31" s="34">
        <f t="shared" si="4"/>
        <v>7</v>
      </c>
      <c r="C31" s="34" t="s">
        <v>65</v>
      </c>
      <c r="D31" s="35" t="s">
        <v>66</v>
      </c>
      <c r="E31" s="36">
        <v>42551</v>
      </c>
      <c r="F31" s="37"/>
      <c r="G31" s="38">
        <v>10</v>
      </c>
      <c r="H31" s="39">
        <f t="shared" si="1"/>
        <v>0</v>
      </c>
      <c r="I31" s="37"/>
      <c r="J31" s="37"/>
      <c r="K31" s="37"/>
      <c r="L31" s="37"/>
      <c r="M31" s="37"/>
      <c r="N31" s="39">
        <f t="shared" si="2"/>
        <v>0</v>
      </c>
      <c r="O31" s="37"/>
      <c r="P31" s="40"/>
      <c r="Q31" s="40"/>
      <c r="R31" s="41">
        <f t="shared" si="3"/>
        <v>0</v>
      </c>
      <c r="S31" s="42"/>
    </row>
    <row r="32" spans="2:19" ht="15.75" x14ac:dyDescent="0.25">
      <c r="B32" s="34">
        <f t="shared" si="4"/>
        <v>8</v>
      </c>
      <c r="C32" s="34" t="s">
        <v>67</v>
      </c>
      <c r="D32" s="35" t="s">
        <v>68</v>
      </c>
      <c r="E32" s="36">
        <v>42551</v>
      </c>
      <c r="F32" s="37">
        <v>113.4</v>
      </c>
      <c r="G32" s="38">
        <v>10</v>
      </c>
      <c r="H32" s="39">
        <f t="shared" si="1"/>
        <v>11.34</v>
      </c>
      <c r="I32" s="37">
        <v>130.45090999999999</v>
      </c>
      <c r="J32" s="37">
        <v>181.782354</v>
      </c>
      <c r="K32" s="37">
        <v>49.772154</v>
      </c>
      <c r="L32" s="37">
        <v>1.7454999999999998E-2</v>
      </c>
      <c r="M32" s="37">
        <v>-2.6403970000000001</v>
      </c>
      <c r="N32" s="39">
        <f t="shared" si="2"/>
        <v>0.38414799999999971</v>
      </c>
      <c r="O32" s="37">
        <v>-3.0245449999999998</v>
      </c>
      <c r="P32" s="40">
        <v>0</v>
      </c>
      <c r="Q32" s="40">
        <v>0</v>
      </c>
      <c r="R32" s="41">
        <f t="shared" si="3"/>
        <v>0</v>
      </c>
      <c r="S32" s="42">
        <v>4413</v>
      </c>
    </row>
    <row r="33" spans="2:19" ht="15.75" x14ac:dyDescent="0.25">
      <c r="B33" s="34">
        <f t="shared" si="4"/>
        <v>9</v>
      </c>
      <c r="C33" s="34" t="s">
        <v>69</v>
      </c>
      <c r="D33" s="35" t="s">
        <v>70</v>
      </c>
      <c r="E33" s="36">
        <v>42551</v>
      </c>
      <c r="F33" s="37">
        <v>524.4</v>
      </c>
      <c r="G33" s="38">
        <v>10</v>
      </c>
      <c r="H33" s="39">
        <f t="shared" si="1"/>
        <v>52.44</v>
      </c>
      <c r="I33" s="37">
        <v>625.72436500000003</v>
      </c>
      <c r="J33" s="37">
        <v>664.44426699999997</v>
      </c>
      <c r="K33" s="37">
        <v>30.364139999999999</v>
      </c>
      <c r="L33" s="37">
        <v>0</v>
      </c>
      <c r="M33" s="37">
        <v>9.0925410000000007</v>
      </c>
      <c r="N33" s="39">
        <f t="shared" si="2"/>
        <v>0</v>
      </c>
      <c r="O33" s="37">
        <v>9.0925410000000007</v>
      </c>
      <c r="P33" s="40">
        <f>1.3</f>
        <v>1.3</v>
      </c>
      <c r="Q33" s="40">
        <v>0</v>
      </c>
      <c r="R33" s="41">
        <f t="shared" si="3"/>
        <v>1.3</v>
      </c>
      <c r="S33" s="42">
        <v>5147</v>
      </c>
    </row>
    <row r="34" spans="2:19" ht="15.75" x14ac:dyDescent="0.25">
      <c r="B34" s="34">
        <f t="shared" si="4"/>
        <v>10</v>
      </c>
      <c r="C34" s="34" t="s">
        <v>71</v>
      </c>
      <c r="D34" s="35" t="s">
        <v>72</v>
      </c>
      <c r="E34" s="36">
        <v>42551</v>
      </c>
      <c r="F34" s="37">
        <v>264.13803999999999</v>
      </c>
      <c r="G34" s="38">
        <v>10</v>
      </c>
      <c r="H34" s="39">
        <f t="shared" si="1"/>
        <v>26.413803999999999</v>
      </c>
      <c r="I34" s="37">
        <v>331.80780099999998</v>
      </c>
      <c r="J34" s="37">
        <v>357.02334500000001</v>
      </c>
      <c r="K34" s="37">
        <v>5.3529010000000001</v>
      </c>
      <c r="L34" s="37">
        <v>8.4810000000000007E-3</v>
      </c>
      <c r="M34" s="37">
        <v>-9.7431699999999992</v>
      </c>
      <c r="N34" s="39">
        <f t="shared" si="2"/>
        <v>0</v>
      </c>
      <c r="O34" s="37">
        <v>-9.7431699999999992</v>
      </c>
      <c r="P34" s="40">
        <v>0</v>
      </c>
      <c r="Q34" s="40">
        <v>0</v>
      </c>
      <c r="R34" s="41">
        <f t="shared" si="3"/>
        <v>0</v>
      </c>
      <c r="S34" s="42">
        <v>7982</v>
      </c>
    </row>
    <row r="35" spans="2:19" ht="15.75" x14ac:dyDescent="0.25">
      <c r="B35" s="34">
        <f t="shared" si="4"/>
        <v>11</v>
      </c>
      <c r="C35" s="34" t="s">
        <v>73</v>
      </c>
      <c r="D35" s="35" t="s">
        <v>74</v>
      </c>
      <c r="E35" s="36">
        <v>42551</v>
      </c>
      <c r="F35" s="37">
        <v>1008</v>
      </c>
      <c r="G35" s="38">
        <v>5</v>
      </c>
      <c r="H35" s="39">
        <f t="shared" si="1"/>
        <v>201.6</v>
      </c>
      <c r="I35" s="37">
        <v>3316.0552729999999</v>
      </c>
      <c r="J35" s="37">
        <v>7160.7497800000001</v>
      </c>
      <c r="K35" s="37">
        <v>580.88032699999997</v>
      </c>
      <c r="L35" s="37">
        <v>155.34533300000001</v>
      </c>
      <c r="M35" s="37">
        <v>298.30289399999998</v>
      </c>
      <c r="N35" s="39">
        <f t="shared" si="2"/>
        <v>0</v>
      </c>
      <c r="O35" s="37">
        <v>298.30289399999998</v>
      </c>
      <c r="P35" s="40">
        <f>20</f>
        <v>20</v>
      </c>
      <c r="Q35" s="40">
        <v>0</v>
      </c>
      <c r="R35" s="41">
        <f t="shared" si="3"/>
        <v>20</v>
      </c>
      <c r="S35" s="42">
        <v>4780</v>
      </c>
    </row>
    <row r="36" spans="2:19" ht="15.75" x14ac:dyDescent="0.25">
      <c r="B36" s="34">
        <f t="shared" si="4"/>
        <v>12</v>
      </c>
      <c r="C36" s="34" t="s">
        <v>75</v>
      </c>
      <c r="D36" s="35" t="s">
        <v>76</v>
      </c>
      <c r="E36" s="36">
        <v>42551</v>
      </c>
      <c r="F36" s="37">
        <v>201.875</v>
      </c>
      <c r="G36" s="38">
        <v>10</v>
      </c>
      <c r="H36" s="39">
        <f t="shared" si="1"/>
        <v>20.1875</v>
      </c>
      <c r="I36" s="37">
        <v>178.83215200000001</v>
      </c>
      <c r="J36" s="37">
        <v>224.26498599999999</v>
      </c>
      <c r="K36" s="37">
        <v>43.915396000000001</v>
      </c>
      <c r="L36" s="37">
        <v>0</v>
      </c>
      <c r="M36" s="37">
        <v>9.8397310000000004</v>
      </c>
      <c r="N36" s="39">
        <f t="shared" si="2"/>
        <v>0</v>
      </c>
      <c r="O36" s="37">
        <v>9.8397310000000004</v>
      </c>
      <c r="P36" s="40">
        <f>3.51</f>
        <v>3.51</v>
      </c>
      <c r="Q36" s="40">
        <v>0</v>
      </c>
      <c r="R36" s="41">
        <f t="shared" si="3"/>
        <v>3.51</v>
      </c>
      <c r="S36" s="42">
        <v>1214</v>
      </c>
    </row>
    <row r="37" spans="2:19" ht="15.75" x14ac:dyDescent="0.25">
      <c r="B37" s="34">
        <f t="shared" si="4"/>
        <v>13</v>
      </c>
      <c r="C37" s="34" t="s">
        <v>77</v>
      </c>
      <c r="D37" s="35" t="s">
        <v>78</v>
      </c>
      <c r="E37" s="36">
        <v>42551</v>
      </c>
      <c r="F37" s="37">
        <v>30</v>
      </c>
      <c r="G37" s="38">
        <v>10</v>
      </c>
      <c r="H37" s="39">
        <f t="shared" si="1"/>
        <v>3</v>
      </c>
      <c r="I37" s="37">
        <v>140.17264499999999</v>
      </c>
      <c r="J37" s="37">
        <v>339.94237600000002</v>
      </c>
      <c r="K37" s="37">
        <v>827.86438699999997</v>
      </c>
      <c r="L37" s="37">
        <v>0</v>
      </c>
      <c r="M37" s="37">
        <v>80.885056000000006</v>
      </c>
      <c r="N37" s="39">
        <f t="shared" si="2"/>
        <v>38.867964000000008</v>
      </c>
      <c r="O37" s="37">
        <v>42.017091999999998</v>
      </c>
      <c r="P37" s="40">
        <f>120</f>
        <v>120</v>
      </c>
      <c r="Q37" s="40">
        <v>0</v>
      </c>
      <c r="R37" s="41">
        <f t="shared" si="3"/>
        <v>120</v>
      </c>
      <c r="S37" s="42">
        <v>361</v>
      </c>
    </row>
    <row r="38" spans="2:19" ht="15.75" x14ac:dyDescent="0.25">
      <c r="B38" s="34">
        <f t="shared" si="4"/>
        <v>14</v>
      </c>
      <c r="C38" s="34" t="s">
        <v>79</v>
      </c>
      <c r="D38" s="35" t="s">
        <v>80</v>
      </c>
      <c r="E38" s="36">
        <v>42551</v>
      </c>
      <c r="F38" s="37">
        <v>250</v>
      </c>
      <c r="G38" s="38">
        <v>10</v>
      </c>
      <c r="H38" s="39">
        <f t="shared" si="1"/>
        <v>25</v>
      </c>
      <c r="I38" s="37">
        <v>87.692751999999999</v>
      </c>
      <c r="J38" s="37">
        <v>841.30627000000004</v>
      </c>
      <c r="K38" s="37">
        <v>314.36892399999999</v>
      </c>
      <c r="L38" s="37">
        <v>44.916618</v>
      </c>
      <c r="M38" s="37">
        <v>-53.832501999999998</v>
      </c>
      <c r="N38" s="39">
        <f t="shared" si="2"/>
        <v>0</v>
      </c>
      <c r="O38" s="37">
        <v>-53.832501999999998</v>
      </c>
      <c r="P38" s="40">
        <v>0</v>
      </c>
      <c r="Q38" s="40">
        <v>0</v>
      </c>
      <c r="R38" s="41">
        <f t="shared" si="3"/>
        <v>0</v>
      </c>
      <c r="S38" s="42">
        <v>1060</v>
      </c>
    </row>
    <row r="39" spans="2:19" ht="15.75" x14ac:dyDescent="0.25">
      <c r="B39" s="34">
        <f t="shared" si="4"/>
        <v>15</v>
      </c>
      <c r="C39" s="34" t="s">
        <v>81</v>
      </c>
      <c r="D39" s="47" t="s">
        <v>82</v>
      </c>
      <c r="E39" s="36">
        <v>42551</v>
      </c>
      <c r="F39" s="37">
        <v>340.2</v>
      </c>
      <c r="G39" s="38">
        <v>10</v>
      </c>
      <c r="H39" s="39">
        <f t="shared" si="1"/>
        <v>34.019999999999996</v>
      </c>
      <c r="I39" s="37">
        <v>181.732473</v>
      </c>
      <c r="J39" s="37">
        <v>1427.3617979999999</v>
      </c>
      <c r="K39" s="37">
        <v>139.482967</v>
      </c>
      <c r="L39" s="37">
        <v>0</v>
      </c>
      <c r="M39" s="37">
        <v>21.161964999999999</v>
      </c>
      <c r="N39" s="39">
        <f t="shared" si="2"/>
        <v>-6.371023000000001</v>
      </c>
      <c r="O39" s="37">
        <v>27.532988</v>
      </c>
      <c r="P39" s="40">
        <f>5</f>
        <v>5</v>
      </c>
      <c r="Q39" s="40">
        <v>0</v>
      </c>
      <c r="R39" s="41">
        <f t="shared" si="3"/>
        <v>5</v>
      </c>
      <c r="S39" s="42">
        <v>4365</v>
      </c>
    </row>
    <row r="40" spans="2:19" ht="15.75" x14ac:dyDescent="0.25">
      <c r="B40" s="34">
        <f t="shared" si="4"/>
        <v>16</v>
      </c>
      <c r="C40" s="34" t="s">
        <v>83</v>
      </c>
      <c r="D40" s="35" t="s">
        <v>84</v>
      </c>
      <c r="E40" s="36">
        <v>42551</v>
      </c>
      <c r="F40" s="37">
        <v>137.88419300000001</v>
      </c>
      <c r="G40" s="38">
        <v>10</v>
      </c>
      <c r="H40" s="39">
        <f t="shared" si="1"/>
        <v>13.788419300000001</v>
      </c>
      <c r="I40" s="37">
        <v>209.86299</v>
      </c>
      <c r="J40" s="37">
        <v>504.54091499999998</v>
      </c>
      <c r="K40" s="37">
        <v>147.70999699999999</v>
      </c>
      <c r="L40" s="37">
        <v>16.706762000000001</v>
      </c>
      <c r="M40" s="37">
        <v>13.040108999999999</v>
      </c>
      <c r="N40" s="39">
        <f t="shared" si="2"/>
        <v>0</v>
      </c>
      <c r="O40" s="37">
        <v>13.040108999999999</v>
      </c>
      <c r="P40" s="40">
        <f>7.5</f>
        <v>7.5</v>
      </c>
      <c r="Q40" s="40">
        <v>0</v>
      </c>
      <c r="R40" s="41">
        <f t="shared" si="3"/>
        <v>7.5</v>
      </c>
      <c r="S40" s="42">
        <v>1296</v>
      </c>
    </row>
    <row r="41" spans="2:19" ht="15.75" x14ac:dyDescent="0.25">
      <c r="B41" s="34">
        <f t="shared" si="4"/>
        <v>17</v>
      </c>
      <c r="C41" s="34" t="s">
        <v>85</v>
      </c>
      <c r="D41" s="35" t="s">
        <v>86</v>
      </c>
      <c r="E41" s="36">
        <v>42551</v>
      </c>
      <c r="F41" s="37">
        <v>1956</v>
      </c>
      <c r="G41" s="38">
        <v>10</v>
      </c>
      <c r="H41" s="39">
        <f>+F41/G41</f>
        <v>195.6</v>
      </c>
      <c r="I41" s="37">
        <v>4431.0640000000003</v>
      </c>
      <c r="J41" s="37">
        <v>5190.7219999999998</v>
      </c>
      <c r="K41" s="37">
        <v>2663.83</v>
      </c>
      <c r="L41" s="37">
        <v>1.752</v>
      </c>
      <c r="M41" s="37">
        <v>244.358</v>
      </c>
      <c r="N41" s="39">
        <f>+M41-O41</f>
        <v>0</v>
      </c>
      <c r="O41" s="37">
        <v>244.358</v>
      </c>
      <c r="P41" s="40">
        <f>6.27</f>
        <v>6.27</v>
      </c>
      <c r="Q41" s="40">
        <v>0</v>
      </c>
      <c r="R41" s="41">
        <f>SUM(P41:Q41)</f>
        <v>6.27</v>
      </c>
      <c r="S41" s="42">
        <v>40</v>
      </c>
    </row>
    <row r="42" spans="2:19" ht="15.75" x14ac:dyDescent="0.25">
      <c r="B42" s="34">
        <f t="shared" si="4"/>
        <v>18</v>
      </c>
      <c r="C42" s="34" t="s">
        <v>87</v>
      </c>
      <c r="D42" s="35" t="s">
        <v>88</v>
      </c>
      <c r="E42" s="36">
        <v>42551</v>
      </c>
      <c r="F42" s="37">
        <v>211.63104000000001</v>
      </c>
      <c r="G42" s="38">
        <v>10</v>
      </c>
      <c r="H42" s="39">
        <f t="shared" si="1"/>
        <v>21.163104000000001</v>
      </c>
      <c r="I42" s="37">
        <v>204.50176099999999</v>
      </c>
      <c r="J42" s="37">
        <v>215.93462400000001</v>
      </c>
      <c r="K42" s="37">
        <v>4.7083979999999999</v>
      </c>
      <c r="L42" s="37">
        <v>0</v>
      </c>
      <c r="M42" s="37">
        <v>4.1335309999999996</v>
      </c>
      <c r="N42" s="39">
        <f t="shared" si="2"/>
        <v>0</v>
      </c>
      <c r="O42" s="37">
        <v>4.1335309999999996</v>
      </c>
      <c r="P42" s="40">
        <v>0</v>
      </c>
      <c r="Q42" s="40">
        <v>0</v>
      </c>
      <c r="R42" s="41">
        <f t="shared" si="3"/>
        <v>0</v>
      </c>
      <c r="S42" s="42">
        <v>2623</v>
      </c>
    </row>
    <row r="43" spans="2:19" ht="15.75" x14ac:dyDescent="0.25">
      <c r="B43" s="34">
        <f t="shared" si="4"/>
        <v>19</v>
      </c>
      <c r="C43" s="34" t="s">
        <v>89</v>
      </c>
      <c r="D43" s="35" t="s">
        <v>90</v>
      </c>
      <c r="E43" s="36">
        <v>42551</v>
      </c>
      <c r="F43" s="37">
        <v>263.86588999999998</v>
      </c>
      <c r="G43" s="38">
        <v>10</v>
      </c>
      <c r="H43" s="39">
        <f t="shared" si="1"/>
        <v>26.386588999999997</v>
      </c>
      <c r="I43" s="37">
        <v>547.50288</v>
      </c>
      <c r="J43" s="37">
        <v>880.372885</v>
      </c>
      <c r="K43" s="37">
        <v>175.13792599999999</v>
      </c>
      <c r="L43" s="37">
        <v>0.13597200000000001</v>
      </c>
      <c r="M43" s="37">
        <v>34.334330999999999</v>
      </c>
      <c r="N43" s="39">
        <f t="shared" si="2"/>
        <v>0</v>
      </c>
      <c r="O43" s="37">
        <v>34.334330999999999</v>
      </c>
      <c r="P43" s="40">
        <f>10</f>
        <v>10</v>
      </c>
      <c r="Q43" s="40">
        <v>0</v>
      </c>
      <c r="R43" s="41">
        <f t="shared" si="3"/>
        <v>10</v>
      </c>
      <c r="S43" s="42">
        <v>3215</v>
      </c>
    </row>
    <row r="44" spans="2:19" ht="15.75" x14ac:dyDescent="0.25">
      <c r="B44" s="34">
        <f t="shared" si="4"/>
        <v>20</v>
      </c>
      <c r="C44" s="34" t="s">
        <v>91</v>
      </c>
      <c r="D44" s="35" t="s">
        <v>92</v>
      </c>
      <c r="E44" s="36">
        <v>42551</v>
      </c>
      <c r="F44" s="37">
        <v>480.66399999999999</v>
      </c>
      <c r="G44" s="38">
        <v>10</v>
      </c>
      <c r="H44" s="39">
        <f t="shared" si="1"/>
        <v>48.066400000000002</v>
      </c>
      <c r="I44" s="37">
        <v>389.03313900000001</v>
      </c>
      <c r="J44" s="37">
        <v>901.24555499999997</v>
      </c>
      <c r="K44" s="37">
        <v>14.519504</v>
      </c>
      <c r="L44" s="37">
        <v>51.415180999999997</v>
      </c>
      <c r="M44" s="37">
        <v>8.2446470000000005</v>
      </c>
      <c r="N44" s="39">
        <f t="shared" si="2"/>
        <v>0</v>
      </c>
      <c r="O44" s="37">
        <v>8.2446470000000005</v>
      </c>
      <c r="P44" s="40">
        <f>0.8</f>
        <v>0.8</v>
      </c>
      <c r="Q44" s="40">
        <v>0</v>
      </c>
      <c r="R44" s="41">
        <f t="shared" si="3"/>
        <v>0.8</v>
      </c>
      <c r="S44" s="42">
        <v>1121</v>
      </c>
    </row>
    <row r="45" spans="2:19" ht="15.75" x14ac:dyDescent="0.25">
      <c r="B45" s="34">
        <f t="shared" si="4"/>
        <v>21</v>
      </c>
      <c r="C45" s="34" t="s">
        <v>93</v>
      </c>
      <c r="D45" s="35" t="s">
        <v>94</v>
      </c>
      <c r="E45" s="36">
        <v>42551</v>
      </c>
      <c r="F45" s="37">
        <v>184.23945000000001</v>
      </c>
      <c r="G45" s="38">
        <v>10</v>
      </c>
      <c r="H45" s="39">
        <f t="shared" si="1"/>
        <v>18.423945</v>
      </c>
      <c r="I45" s="37">
        <v>159.540975</v>
      </c>
      <c r="J45" s="37">
        <v>219.339358</v>
      </c>
      <c r="K45" s="37">
        <v>62.188510999999998</v>
      </c>
      <c r="L45" s="37">
        <v>0</v>
      </c>
      <c r="M45" s="37">
        <v>5.2674529999999997</v>
      </c>
      <c r="N45" s="39">
        <f t="shared" si="2"/>
        <v>0.58679099999999984</v>
      </c>
      <c r="O45" s="37">
        <v>4.6806619999999999</v>
      </c>
      <c r="P45" s="40">
        <f>2</f>
        <v>2</v>
      </c>
      <c r="Q45" s="40">
        <v>0</v>
      </c>
      <c r="R45" s="41">
        <f t="shared" si="3"/>
        <v>2</v>
      </c>
      <c r="S45" s="42">
        <v>3634</v>
      </c>
    </row>
    <row r="46" spans="2:19" ht="15.75" x14ac:dyDescent="0.25">
      <c r="B46" s="34">
        <f t="shared" si="4"/>
        <v>22</v>
      </c>
      <c r="C46" s="34" t="s">
        <v>95</v>
      </c>
      <c r="D46" s="47" t="s">
        <v>96</v>
      </c>
      <c r="E46" s="36">
        <v>42551</v>
      </c>
      <c r="F46" s="37">
        <v>125.4</v>
      </c>
      <c r="G46" s="38">
        <v>10</v>
      </c>
      <c r="H46" s="39">
        <f t="shared" si="1"/>
        <v>12.540000000000001</v>
      </c>
      <c r="I46" s="37">
        <v>59.810575</v>
      </c>
      <c r="J46" s="37">
        <v>67.432135000000002</v>
      </c>
      <c r="K46" s="37">
        <v>4.9230179999999999</v>
      </c>
      <c r="L46" s="37">
        <v>0</v>
      </c>
      <c r="M46" s="37">
        <v>0.20100999999999999</v>
      </c>
      <c r="N46" s="39">
        <f t="shared" si="2"/>
        <v>0</v>
      </c>
      <c r="O46" s="37">
        <v>0.20100999999999999</v>
      </c>
      <c r="P46" s="40">
        <v>0</v>
      </c>
      <c r="Q46" s="40">
        <v>0</v>
      </c>
      <c r="R46" s="41">
        <f t="shared" si="3"/>
        <v>0</v>
      </c>
      <c r="S46" s="42">
        <v>3946</v>
      </c>
    </row>
    <row r="47" spans="2:19" ht="15.75" x14ac:dyDescent="0.25">
      <c r="B47" s="34">
        <f t="shared" si="4"/>
        <v>23</v>
      </c>
      <c r="C47" s="34" t="s">
        <v>97</v>
      </c>
      <c r="D47" s="47" t="s">
        <v>98</v>
      </c>
      <c r="E47" s="36">
        <v>42551</v>
      </c>
      <c r="F47" s="37">
        <v>872.17660000000001</v>
      </c>
      <c r="G47" s="38">
        <v>10</v>
      </c>
      <c r="H47" s="39">
        <f t="shared" si="1"/>
        <v>87.217659999999995</v>
      </c>
      <c r="I47" s="37">
        <v>452.39066100000002</v>
      </c>
      <c r="J47" s="37">
        <v>512.08656800000006</v>
      </c>
      <c r="K47" s="37">
        <v>52.631042000000001</v>
      </c>
      <c r="L47" s="37">
        <v>0</v>
      </c>
      <c r="M47" s="37">
        <v>20.816468</v>
      </c>
      <c r="N47" s="39">
        <f t="shared" si="2"/>
        <v>0</v>
      </c>
      <c r="O47" s="37">
        <v>20.816468</v>
      </c>
      <c r="P47" s="40">
        <f>1.8</f>
        <v>1.8</v>
      </c>
      <c r="Q47" s="40">
        <v>0</v>
      </c>
      <c r="R47" s="41">
        <f t="shared" si="3"/>
        <v>1.8</v>
      </c>
      <c r="S47" s="42">
        <v>10648</v>
      </c>
    </row>
    <row r="48" spans="2:19" ht="15.75" x14ac:dyDescent="0.25">
      <c r="B48" s="34">
        <f t="shared" si="4"/>
        <v>24</v>
      </c>
      <c r="C48" s="34" t="s">
        <v>99</v>
      </c>
      <c r="D48" s="47" t="s">
        <v>100</v>
      </c>
      <c r="E48" s="36">
        <v>42551</v>
      </c>
      <c r="F48" s="37">
        <v>100</v>
      </c>
      <c r="G48" s="38">
        <v>10</v>
      </c>
      <c r="H48" s="39">
        <f>+F48/G48</f>
        <v>10</v>
      </c>
      <c r="I48" s="37">
        <v>-25.986792999999999</v>
      </c>
      <c r="J48" s="37">
        <v>140.65280100000001</v>
      </c>
      <c r="K48" s="37">
        <v>26.306598000000001</v>
      </c>
      <c r="L48" s="37">
        <v>0</v>
      </c>
      <c r="M48" s="37">
        <v>-55.73762</v>
      </c>
      <c r="N48" s="39">
        <f>+M48-O48</f>
        <v>0.5586449999999985</v>
      </c>
      <c r="O48" s="37">
        <v>-56.296264999999998</v>
      </c>
      <c r="P48" s="40">
        <v>0</v>
      </c>
      <c r="Q48" s="40">
        <v>0</v>
      </c>
      <c r="R48" s="41">
        <f>SUM(P48:Q48)</f>
        <v>0</v>
      </c>
      <c r="S48" s="42">
        <v>988</v>
      </c>
    </row>
    <row r="49" spans="2:19" ht="15.75" x14ac:dyDescent="0.25">
      <c r="B49" s="34">
        <f t="shared" si="4"/>
        <v>25</v>
      </c>
      <c r="C49" s="34" t="s">
        <v>101</v>
      </c>
      <c r="D49" s="35" t="s">
        <v>102</v>
      </c>
      <c r="E49" s="36">
        <v>42551</v>
      </c>
      <c r="F49" s="37">
        <v>453.83530000000002</v>
      </c>
      <c r="G49" s="38">
        <v>10</v>
      </c>
      <c r="H49" s="39">
        <f t="shared" si="1"/>
        <v>45.38353</v>
      </c>
      <c r="I49" s="37">
        <v>1176.182182</v>
      </c>
      <c r="J49" s="37">
        <v>5277.852441</v>
      </c>
      <c r="K49" s="37">
        <v>1848.2807250000001</v>
      </c>
      <c r="L49" s="37">
        <v>223.01578599999999</v>
      </c>
      <c r="M49" s="37">
        <v>173.123302</v>
      </c>
      <c r="N49" s="39">
        <f t="shared" si="2"/>
        <v>0</v>
      </c>
      <c r="O49" s="37">
        <v>173.123302</v>
      </c>
      <c r="P49" s="40">
        <f>34</f>
        <v>34</v>
      </c>
      <c r="Q49" s="40">
        <v>0</v>
      </c>
      <c r="R49" s="41">
        <f t="shared" si="3"/>
        <v>34</v>
      </c>
      <c r="S49" s="42">
        <v>8516</v>
      </c>
    </row>
    <row r="50" spans="2:19" ht="15.75" x14ac:dyDescent="0.25">
      <c r="B50" s="34">
        <f t="shared" si="4"/>
        <v>26</v>
      </c>
      <c r="C50" s="34" t="s">
        <v>103</v>
      </c>
      <c r="D50" s="35" t="s">
        <v>104</v>
      </c>
      <c r="E50" s="36">
        <v>42551</v>
      </c>
      <c r="F50" s="37">
        <v>450</v>
      </c>
      <c r="G50" s="38">
        <v>10</v>
      </c>
      <c r="H50" s="39">
        <f t="shared" si="1"/>
        <v>45</v>
      </c>
      <c r="I50" s="37">
        <v>473.134681</v>
      </c>
      <c r="J50" s="37">
        <v>515.42489799999998</v>
      </c>
      <c r="K50" s="37">
        <v>85.493489999999994</v>
      </c>
      <c r="L50" s="37">
        <v>0</v>
      </c>
      <c r="M50" s="37">
        <v>20.743478</v>
      </c>
      <c r="N50" s="39">
        <f t="shared" si="2"/>
        <v>0</v>
      </c>
      <c r="O50" s="37">
        <v>20.743478</v>
      </c>
      <c r="P50" s="40">
        <f>3.5</f>
        <v>3.5</v>
      </c>
      <c r="Q50" s="40">
        <v>0</v>
      </c>
      <c r="R50" s="41">
        <f t="shared" si="3"/>
        <v>3.5</v>
      </c>
      <c r="S50" s="42">
        <v>717</v>
      </c>
    </row>
    <row r="51" spans="2:19" ht="15.75" x14ac:dyDescent="0.25">
      <c r="B51" s="34">
        <f t="shared" si="4"/>
        <v>27</v>
      </c>
      <c r="C51" s="34" t="s">
        <v>105</v>
      </c>
      <c r="D51" s="35" t="s">
        <v>106</v>
      </c>
      <c r="E51" s="36">
        <v>42551</v>
      </c>
      <c r="F51" s="37">
        <v>298</v>
      </c>
      <c r="G51" s="38">
        <v>10</v>
      </c>
      <c r="H51" s="39">
        <f t="shared" si="1"/>
        <v>29.8</v>
      </c>
      <c r="I51" s="37">
        <v>310.16548899999998</v>
      </c>
      <c r="J51" s="37">
        <v>396.17237699999998</v>
      </c>
      <c r="K51" s="37">
        <v>84.936316000000005</v>
      </c>
      <c r="L51" s="37">
        <v>0</v>
      </c>
      <c r="M51" s="37">
        <v>13.030231000000001</v>
      </c>
      <c r="N51" s="39">
        <f t="shared" si="2"/>
        <v>0</v>
      </c>
      <c r="O51" s="37">
        <v>13.030231000000001</v>
      </c>
      <c r="P51" s="40">
        <f>3</f>
        <v>3</v>
      </c>
      <c r="Q51" s="40">
        <v>0</v>
      </c>
      <c r="R51" s="41">
        <f t="shared" si="3"/>
        <v>3</v>
      </c>
      <c r="S51" s="42">
        <v>2556</v>
      </c>
    </row>
    <row r="52" spans="2:19" ht="15.75" x14ac:dyDescent="0.25">
      <c r="B52" s="34">
        <f t="shared" si="4"/>
        <v>28</v>
      </c>
      <c r="C52" s="34" t="s">
        <v>107</v>
      </c>
      <c r="D52" s="35" t="s">
        <v>108</v>
      </c>
      <c r="E52" s="36">
        <v>42551</v>
      </c>
      <c r="F52" s="37"/>
      <c r="G52" s="38">
        <v>10</v>
      </c>
      <c r="H52" s="39">
        <f t="shared" si="1"/>
        <v>0</v>
      </c>
      <c r="I52" s="37"/>
      <c r="J52" s="37"/>
      <c r="K52" s="37"/>
      <c r="L52" s="37"/>
      <c r="M52" s="37"/>
      <c r="N52" s="39">
        <f t="shared" si="2"/>
        <v>0</v>
      </c>
      <c r="O52" s="37"/>
      <c r="P52" s="40"/>
      <c r="Q52" s="40"/>
      <c r="R52" s="41">
        <f t="shared" si="3"/>
        <v>0</v>
      </c>
      <c r="S52" s="42"/>
    </row>
    <row r="53" spans="2:19" ht="15.75" x14ac:dyDescent="0.25">
      <c r="B53" s="29"/>
      <c r="C53" s="29"/>
      <c r="D53" s="29"/>
      <c r="E53" s="29"/>
      <c r="F53" s="29"/>
      <c r="G53" s="43"/>
      <c r="H53" s="44"/>
      <c r="I53" s="31"/>
      <c r="J53" s="31"/>
      <c r="K53" s="31"/>
      <c r="L53" s="31"/>
      <c r="M53" s="31"/>
      <c r="N53" s="45"/>
      <c r="O53" s="31"/>
      <c r="P53" s="31"/>
      <c r="Q53" s="31"/>
      <c r="R53" s="45"/>
      <c r="S53" s="31"/>
    </row>
    <row r="54" spans="2:19" ht="18.75" x14ac:dyDescent="0.3">
      <c r="B54" s="29"/>
      <c r="C54" s="29"/>
      <c r="D54" s="46" t="s">
        <v>45</v>
      </c>
      <c r="E54" s="29"/>
      <c r="F54" s="29"/>
      <c r="G54" s="43"/>
      <c r="H54" s="44"/>
      <c r="I54" s="31"/>
      <c r="J54" s="31"/>
      <c r="K54" s="31"/>
      <c r="L54" s="31"/>
      <c r="M54" s="31"/>
      <c r="N54" s="45"/>
      <c r="O54" s="31"/>
      <c r="P54" s="31"/>
      <c r="Q54" s="31"/>
      <c r="R54" s="45"/>
      <c r="S54" s="31"/>
    </row>
    <row r="55" spans="2:19" ht="15.75" x14ac:dyDescent="0.25">
      <c r="B55" s="34">
        <v>1</v>
      </c>
      <c r="C55" s="34" t="s">
        <v>109</v>
      </c>
      <c r="D55" s="35" t="s">
        <v>110</v>
      </c>
      <c r="E55" s="36">
        <v>42551</v>
      </c>
      <c r="F55" s="37"/>
      <c r="G55" s="38">
        <v>10</v>
      </c>
      <c r="H55" s="39">
        <f>+F55/G55</f>
        <v>0</v>
      </c>
      <c r="I55" s="37"/>
      <c r="J55" s="37"/>
      <c r="K55" s="37"/>
      <c r="L55" s="37"/>
      <c r="M55" s="37"/>
      <c r="N55" s="39">
        <f>+M55-O55</f>
        <v>0</v>
      </c>
      <c r="O55" s="37"/>
      <c r="P55" s="40"/>
      <c r="Q55" s="40"/>
      <c r="R55" s="41">
        <f>SUM(P55:Q55)</f>
        <v>0</v>
      </c>
      <c r="S55" s="42"/>
    </row>
    <row r="56" spans="2:19" ht="15.75" x14ac:dyDescent="0.25">
      <c r="B56" s="29"/>
      <c r="C56" s="29"/>
      <c r="D56" s="29"/>
      <c r="E56" s="29"/>
      <c r="F56" s="29"/>
      <c r="G56" s="43"/>
      <c r="H56" s="44"/>
      <c r="I56" s="31"/>
      <c r="J56" s="31"/>
      <c r="K56" s="31"/>
      <c r="L56" s="31"/>
      <c r="M56" s="31"/>
      <c r="N56" s="45"/>
      <c r="O56" s="31"/>
      <c r="P56" s="31"/>
      <c r="Q56" s="31"/>
      <c r="R56" s="45"/>
      <c r="S56" s="31"/>
    </row>
    <row r="57" spans="2:19" s="56" customFormat="1" ht="15.75" x14ac:dyDescent="0.25">
      <c r="B57" s="34">
        <f>COUNT(B25:B56)</f>
        <v>29</v>
      </c>
      <c r="C57" s="34"/>
      <c r="D57" s="48"/>
      <c r="E57" s="48"/>
      <c r="F57" s="48">
        <f>SUM(F25:F56)</f>
        <v>12286.323649999998</v>
      </c>
      <c r="G57" s="49"/>
      <c r="H57" s="50">
        <f t="shared" ref="H57:O57" si="5">SUM(H25:H56)</f>
        <v>1329.4323649999999</v>
      </c>
      <c r="I57" s="48">
        <f t="shared" si="5"/>
        <v>20387.906232000001</v>
      </c>
      <c r="J57" s="48">
        <f t="shared" si="5"/>
        <v>37021.682367000001</v>
      </c>
      <c r="K57" s="48">
        <f t="shared" si="5"/>
        <v>10281.429828000002</v>
      </c>
      <c r="L57" s="48">
        <f t="shared" si="5"/>
        <v>670.36790700000006</v>
      </c>
      <c r="M57" s="48">
        <f t="shared" si="5"/>
        <v>1222.248791</v>
      </c>
      <c r="N57" s="51">
        <f t="shared" si="5"/>
        <v>34.544597000000003</v>
      </c>
      <c r="O57" s="48">
        <f t="shared" si="5"/>
        <v>1187.7041940000001</v>
      </c>
      <c r="P57" s="52"/>
      <c r="Q57" s="52"/>
      <c r="R57" s="53"/>
      <c r="S57" s="54">
        <f>SUM(S25:S56)</f>
        <v>79678</v>
      </c>
    </row>
    <row r="58" spans="2:19" ht="15.75" x14ac:dyDescent="0.25">
      <c r="B58" s="29"/>
      <c r="C58" s="29"/>
      <c r="D58" s="29"/>
      <c r="E58" s="29"/>
      <c r="F58" s="29"/>
      <c r="G58" s="43"/>
      <c r="H58" s="44"/>
      <c r="I58" s="31"/>
      <c r="J58" s="31"/>
      <c r="K58" s="31"/>
      <c r="L58" s="31"/>
      <c r="M58" s="31"/>
      <c r="N58" s="45"/>
      <c r="O58" s="31"/>
      <c r="P58" s="31"/>
      <c r="Q58" s="31"/>
      <c r="R58" s="45"/>
      <c r="S58" s="31"/>
    </row>
    <row r="59" spans="2:19" ht="15.75" x14ac:dyDescent="0.25">
      <c r="B59" s="29"/>
      <c r="C59" s="29"/>
      <c r="D59" s="29"/>
      <c r="E59" s="29"/>
      <c r="F59" s="29"/>
      <c r="G59" s="43"/>
      <c r="H59" s="44"/>
      <c r="I59" s="31"/>
      <c r="J59" s="31"/>
      <c r="K59" s="31"/>
      <c r="L59" s="31"/>
      <c r="M59" s="31"/>
      <c r="N59" s="45"/>
      <c r="O59" s="31"/>
      <c r="P59" s="31"/>
      <c r="Q59" s="31"/>
      <c r="R59" s="45"/>
      <c r="S59" s="31"/>
    </row>
    <row r="60" spans="2:19" ht="18.75" x14ac:dyDescent="0.3">
      <c r="B60" s="29"/>
      <c r="C60" s="33">
        <v>3</v>
      </c>
      <c r="D60" s="33" t="s">
        <v>111</v>
      </c>
      <c r="E60" s="29"/>
      <c r="F60" s="29"/>
      <c r="G60" s="43"/>
      <c r="H60" s="44"/>
      <c r="I60" s="31"/>
      <c r="J60" s="31"/>
      <c r="K60" s="31"/>
      <c r="L60" s="31"/>
      <c r="M60" s="31"/>
      <c r="N60" s="45"/>
      <c r="O60" s="31"/>
      <c r="P60" s="31"/>
      <c r="Q60" s="31"/>
      <c r="R60" s="45"/>
      <c r="S60" s="31"/>
    </row>
    <row r="61" spans="2:19" ht="15.75" x14ac:dyDescent="0.25">
      <c r="B61" s="29"/>
      <c r="C61" s="29"/>
      <c r="D61" s="29"/>
      <c r="E61" s="29"/>
      <c r="F61" s="29"/>
      <c r="G61" s="43"/>
      <c r="H61" s="44"/>
      <c r="I61" s="31"/>
      <c r="J61" s="31"/>
      <c r="K61" s="31"/>
      <c r="L61" s="31"/>
      <c r="M61" s="31"/>
      <c r="N61" s="45"/>
      <c r="O61" s="31"/>
      <c r="P61" s="31"/>
      <c r="Q61" s="31"/>
      <c r="R61" s="45"/>
      <c r="S61" s="31"/>
    </row>
    <row r="62" spans="2:19" ht="15.75" x14ac:dyDescent="0.25">
      <c r="B62" s="34">
        <v>1</v>
      </c>
      <c r="C62" s="34" t="s">
        <v>112</v>
      </c>
      <c r="D62" s="35" t="s">
        <v>113</v>
      </c>
      <c r="E62" s="36">
        <v>42551</v>
      </c>
      <c r="F62" s="37">
        <v>107.44413</v>
      </c>
      <c r="G62" s="38">
        <v>10</v>
      </c>
      <c r="H62" s="39">
        <f t="shared" ref="H62:H68" si="6">+F62/G62</f>
        <v>10.744413</v>
      </c>
      <c r="I62" s="37">
        <v>168.033343</v>
      </c>
      <c r="J62" s="37">
        <v>265.75487299999998</v>
      </c>
      <c r="K62" s="37">
        <v>52.640774</v>
      </c>
      <c r="L62" s="37">
        <v>10.37862</v>
      </c>
      <c r="M62" s="37">
        <v>32.309024999999998</v>
      </c>
      <c r="N62" s="39">
        <f t="shared" ref="N62:N68" si="7">+M62-O62</f>
        <v>12.425352999999998</v>
      </c>
      <c r="O62" s="37">
        <v>19.883672000000001</v>
      </c>
      <c r="P62" s="40">
        <v>0</v>
      </c>
      <c r="Q62" s="40">
        <v>0</v>
      </c>
      <c r="R62" s="41">
        <f t="shared" ref="R62:R68" si="8">SUM(P62:Q62)</f>
        <v>0</v>
      </c>
      <c r="S62" s="42">
        <v>735</v>
      </c>
    </row>
    <row r="63" spans="2:19" ht="15.75" x14ac:dyDescent="0.25">
      <c r="B63" s="34">
        <f t="shared" ref="B63:B68" si="9">+B62+1</f>
        <v>2</v>
      </c>
      <c r="C63" s="34" t="s">
        <v>114</v>
      </c>
      <c r="D63" s="35" t="s">
        <v>115</v>
      </c>
      <c r="E63" s="36">
        <v>42551</v>
      </c>
      <c r="F63" s="37">
        <v>215</v>
      </c>
      <c r="G63" s="38">
        <v>10</v>
      </c>
      <c r="H63" s="39">
        <f t="shared" si="6"/>
        <v>21.5</v>
      </c>
      <c r="I63" s="37">
        <v>74.626171999999997</v>
      </c>
      <c r="J63" s="37">
        <v>248.032186</v>
      </c>
      <c r="K63" s="37">
        <v>10.222046000000001</v>
      </c>
      <c r="L63" s="37">
        <v>2.0227309999999998</v>
      </c>
      <c r="M63" s="37">
        <v>0.17555499999999999</v>
      </c>
      <c r="N63" s="39">
        <f t="shared" si="7"/>
        <v>0.88956400000000002</v>
      </c>
      <c r="O63" s="37">
        <v>-0.714009</v>
      </c>
      <c r="P63" s="40">
        <v>0</v>
      </c>
      <c r="Q63" s="40">
        <v>0</v>
      </c>
      <c r="R63" s="41">
        <f t="shared" si="8"/>
        <v>0</v>
      </c>
      <c r="S63" s="42">
        <v>377</v>
      </c>
    </row>
    <row r="64" spans="2:19" ht="15.75" x14ac:dyDescent="0.25">
      <c r="B64" s="34">
        <f t="shared" si="9"/>
        <v>3</v>
      </c>
      <c r="C64" s="34" t="s">
        <v>116</v>
      </c>
      <c r="D64" s="35" t="s">
        <v>117</v>
      </c>
      <c r="E64" s="36">
        <v>42551</v>
      </c>
      <c r="F64" s="37">
        <v>820.82794000000001</v>
      </c>
      <c r="G64" s="38">
        <v>10</v>
      </c>
      <c r="H64" s="39">
        <f t="shared" si="6"/>
        <v>82.082794000000007</v>
      </c>
      <c r="I64" s="37">
        <v>3847.8099149999998</v>
      </c>
      <c r="J64" s="37">
        <v>35313.440158999998</v>
      </c>
      <c r="K64" s="37">
        <v>4101.4903860000004</v>
      </c>
      <c r="L64" s="37">
        <v>1666.424021</v>
      </c>
      <c r="M64" s="37">
        <v>952.43165199999999</v>
      </c>
      <c r="N64" s="39">
        <f t="shared" si="7"/>
        <v>210.25500199999999</v>
      </c>
      <c r="O64" s="37">
        <v>742.17665</v>
      </c>
      <c r="P64" s="40">
        <f>45</f>
        <v>45</v>
      </c>
      <c r="Q64" s="40">
        <v>0</v>
      </c>
      <c r="R64" s="41">
        <f t="shared" si="8"/>
        <v>45</v>
      </c>
      <c r="S64" s="42">
        <v>3464</v>
      </c>
    </row>
    <row r="65" spans="2:19" ht="15.75" x14ac:dyDescent="0.25">
      <c r="B65" s="34">
        <f t="shared" si="9"/>
        <v>4</v>
      </c>
      <c r="C65" s="34" t="s">
        <v>118</v>
      </c>
      <c r="D65" s="35" t="s">
        <v>119</v>
      </c>
      <c r="E65" s="36">
        <v>42551</v>
      </c>
      <c r="F65" s="37">
        <v>253.69800000000001</v>
      </c>
      <c r="G65" s="38">
        <v>10</v>
      </c>
      <c r="H65" s="39">
        <f t="shared" si="6"/>
        <v>25.369800000000001</v>
      </c>
      <c r="I65" s="37">
        <v>546.89597500000002</v>
      </c>
      <c r="J65" s="37">
        <v>1851.174569</v>
      </c>
      <c r="K65" s="37">
        <v>151.67135999999999</v>
      </c>
      <c r="L65" s="37">
        <v>28.093726</v>
      </c>
      <c r="M65" s="37">
        <v>51.186129000000001</v>
      </c>
      <c r="N65" s="39">
        <f t="shared" si="7"/>
        <v>10.471732000000003</v>
      </c>
      <c r="O65" s="37">
        <v>40.714396999999998</v>
      </c>
      <c r="P65" s="40">
        <f>5</f>
        <v>5</v>
      </c>
      <c r="Q65" s="40">
        <v>0</v>
      </c>
      <c r="R65" s="41">
        <f t="shared" si="8"/>
        <v>5</v>
      </c>
      <c r="S65" s="42">
        <v>169</v>
      </c>
    </row>
    <row r="66" spans="2:19" ht="15.75" x14ac:dyDescent="0.25">
      <c r="B66" s="34">
        <f t="shared" si="9"/>
        <v>5</v>
      </c>
      <c r="C66" s="34" t="s">
        <v>120</v>
      </c>
      <c r="D66" s="35" t="s">
        <v>121</v>
      </c>
      <c r="E66" s="36">
        <v>42735</v>
      </c>
      <c r="F66" s="37">
        <v>320</v>
      </c>
      <c r="G66" s="38">
        <v>10</v>
      </c>
      <c r="H66" s="39">
        <f t="shared" si="6"/>
        <v>32</v>
      </c>
      <c r="I66" s="37">
        <v>156.955567</v>
      </c>
      <c r="J66" s="37">
        <v>503.76702899999998</v>
      </c>
      <c r="K66" s="37">
        <v>37.415117000000002</v>
      </c>
      <c r="L66" s="37">
        <v>13.224767999999999</v>
      </c>
      <c r="M66" s="37">
        <v>-13.05691</v>
      </c>
      <c r="N66" s="39">
        <f t="shared" si="7"/>
        <v>0.32531200000000027</v>
      </c>
      <c r="O66" s="37">
        <v>-13.382222000000001</v>
      </c>
      <c r="P66" s="40">
        <v>0</v>
      </c>
      <c r="Q66" s="40">
        <v>0</v>
      </c>
      <c r="R66" s="41">
        <f t="shared" si="8"/>
        <v>0</v>
      </c>
      <c r="S66" s="42">
        <v>407</v>
      </c>
    </row>
    <row r="67" spans="2:19" ht="15.75" x14ac:dyDescent="0.25">
      <c r="B67" s="34">
        <f t="shared" si="9"/>
        <v>6</v>
      </c>
      <c r="C67" s="34" t="s">
        <v>122</v>
      </c>
      <c r="D67" s="35" t="s">
        <v>123</v>
      </c>
      <c r="E67" s="36">
        <v>42551</v>
      </c>
      <c r="F67" s="37">
        <v>363</v>
      </c>
      <c r="G67" s="38">
        <v>10</v>
      </c>
      <c r="H67" s="39">
        <f t="shared" si="6"/>
        <v>36.299999999999997</v>
      </c>
      <c r="I67" s="37">
        <v>124.593763</v>
      </c>
      <c r="J67" s="37">
        <v>815.101044</v>
      </c>
      <c r="K67" s="37">
        <v>31.00976</v>
      </c>
      <c r="L67" s="37">
        <v>1.1442509999999999</v>
      </c>
      <c r="M67" s="37">
        <v>-10.232426999999999</v>
      </c>
      <c r="N67" s="39">
        <f t="shared" si="7"/>
        <v>-25.610082999999999</v>
      </c>
      <c r="O67" s="37">
        <v>15.377656</v>
      </c>
      <c r="P67" s="40">
        <v>0</v>
      </c>
      <c r="Q67" s="40">
        <v>0</v>
      </c>
      <c r="R67" s="41">
        <f t="shared" si="8"/>
        <v>0</v>
      </c>
      <c r="S67" s="42">
        <v>376</v>
      </c>
    </row>
    <row r="68" spans="2:19" ht="15.75" x14ac:dyDescent="0.25">
      <c r="B68" s="34">
        <f t="shared" si="9"/>
        <v>7</v>
      </c>
      <c r="C68" s="34" t="s">
        <v>124</v>
      </c>
      <c r="D68" s="35" t="s">
        <v>125</v>
      </c>
      <c r="E68" s="36">
        <v>42551</v>
      </c>
      <c r="F68" s="37">
        <v>451.60500000000002</v>
      </c>
      <c r="G68" s="38">
        <v>10</v>
      </c>
      <c r="H68" s="39">
        <f t="shared" si="6"/>
        <v>45.160499999999999</v>
      </c>
      <c r="I68" s="37">
        <v>-583.26271199999996</v>
      </c>
      <c r="J68" s="37">
        <v>776.11324999999999</v>
      </c>
      <c r="K68" s="37">
        <v>51.506791999999997</v>
      </c>
      <c r="L68" s="37">
        <v>39.036262000000001</v>
      </c>
      <c r="M68" s="37">
        <v>-118.06063899999999</v>
      </c>
      <c r="N68" s="39">
        <f t="shared" si="7"/>
        <v>0.79288800000000492</v>
      </c>
      <c r="O68" s="37">
        <v>-118.853527</v>
      </c>
      <c r="P68" s="40">
        <v>0</v>
      </c>
      <c r="Q68" s="40">
        <v>0</v>
      </c>
      <c r="R68" s="41">
        <f t="shared" si="8"/>
        <v>0</v>
      </c>
      <c r="S68" s="42">
        <v>1842</v>
      </c>
    </row>
    <row r="69" spans="2:19" ht="15.75" x14ac:dyDescent="0.25">
      <c r="B69" s="29"/>
      <c r="C69" s="29"/>
      <c r="D69" s="29"/>
      <c r="E69" s="29"/>
      <c r="F69" s="29"/>
      <c r="G69" s="43"/>
      <c r="H69" s="44"/>
      <c r="I69" s="31"/>
      <c r="J69" s="31"/>
      <c r="K69" s="31"/>
      <c r="L69" s="31"/>
      <c r="M69" s="31"/>
      <c r="N69" s="45"/>
      <c r="O69" s="31"/>
      <c r="P69" s="31"/>
      <c r="Q69" s="31"/>
      <c r="R69" s="45"/>
      <c r="S69" s="31"/>
    </row>
    <row r="70" spans="2:19" ht="18.75" x14ac:dyDescent="0.3">
      <c r="B70" s="29"/>
      <c r="C70" s="29"/>
      <c r="D70" s="57" t="s">
        <v>45</v>
      </c>
      <c r="E70" s="29"/>
      <c r="F70" s="29"/>
      <c r="G70" s="43"/>
      <c r="H70" s="44"/>
      <c r="I70" s="31"/>
      <c r="J70" s="31"/>
      <c r="K70" s="31"/>
      <c r="L70" s="31"/>
      <c r="M70" s="31"/>
      <c r="N70" s="45"/>
      <c r="O70" s="31"/>
      <c r="P70" s="31"/>
      <c r="Q70" s="31"/>
      <c r="R70" s="45"/>
      <c r="S70" s="31"/>
    </row>
    <row r="71" spans="2:19" ht="16.5" customHeight="1" x14ac:dyDescent="0.25">
      <c r="B71" s="34">
        <v>1</v>
      </c>
      <c r="C71" s="34" t="s">
        <v>126</v>
      </c>
      <c r="D71" s="35" t="s">
        <v>127</v>
      </c>
      <c r="E71" s="36">
        <v>42551</v>
      </c>
      <c r="F71" s="37"/>
      <c r="G71" s="38">
        <v>10</v>
      </c>
      <c r="H71" s="39">
        <f>+F71/G71</f>
        <v>0</v>
      </c>
      <c r="I71" s="37"/>
      <c r="J71" s="37"/>
      <c r="K71" s="37"/>
      <c r="L71" s="37"/>
      <c r="M71" s="37"/>
      <c r="N71" s="39">
        <f>+M71-O71</f>
        <v>0</v>
      </c>
      <c r="O71" s="37"/>
      <c r="P71" s="40"/>
      <c r="Q71" s="40"/>
      <c r="R71" s="41">
        <f>SUM(P71:Q71)</f>
        <v>0</v>
      </c>
      <c r="S71" s="42"/>
    </row>
    <row r="72" spans="2:19" ht="15.75" x14ac:dyDescent="0.25">
      <c r="B72" s="34">
        <f>+B71+1</f>
        <v>2</v>
      </c>
      <c r="C72" s="34" t="s">
        <v>128</v>
      </c>
      <c r="D72" s="35" t="s">
        <v>129</v>
      </c>
      <c r="E72" s="36">
        <v>42551</v>
      </c>
      <c r="F72" s="37"/>
      <c r="G72" s="38">
        <v>10</v>
      </c>
      <c r="H72" s="39">
        <f>+F72/G72</f>
        <v>0</v>
      </c>
      <c r="I72" s="37"/>
      <c r="J72" s="37"/>
      <c r="K72" s="37"/>
      <c r="L72" s="37"/>
      <c r="M72" s="37"/>
      <c r="N72" s="39">
        <f>+M72-O72</f>
        <v>0</v>
      </c>
      <c r="O72" s="37"/>
      <c r="P72" s="40"/>
      <c r="Q72" s="40"/>
      <c r="R72" s="41">
        <f>SUM(P72:Q72)</f>
        <v>0</v>
      </c>
      <c r="S72" s="42"/>
    </row>
    <row r="73" spans="2:19" ht="15.75" x14ac:dyDescent="0.25">
      <c r="B73" s="29"/>
      <c r="C73" s="29"/>
      <c r="D73" s="29"/>
      <c r="E73" s="29"/>
      <c r="F73" s="29"/>
      <c r="G73" s="43"/>
      <c r="H73" s="44"/>
      <c r="I73" s="31"/>
      <c r="J73" s="31"/>
      <c r="K73" s="31"/>
      <c r="L73" s="31"/>
      <c r="M73" s="31"/>
      <c r="N73" s="45"/>
      <c r="O73" s="31"/>
      <c r="P73" s="31"/>
      <c r="Q73" s="31"/>
      <c r="R73" s="45"/>
      <c r="S73" s="31"/>
    </row>
    <row r="74" spans="2:19" ht="15.75" x14ac:dyDescent="0.25">
      <c r="B74" s="34">
        <f>COUNT(B62:B73)</f>
        <v>9</v>
      </c>
      <c r="C74" s="34"/>
      <c r="D74" s="48"/>
      <c r="E74" s="48"/>
      <c r="F74" s="48">
        <f>SUM(F62:F73)</f>
        <v>2531.5750700000003</v>
      </c>
      <c r="G74" s="49"/>
      <c r="H74" s="50">
        <f t="shared" ref="H74:O74" si="10">SUM(H62:H73)</f>
        <v>253.15750700000001</v>
      </c>
      <c r="I74" s="48">
        <f t="shared" si="10"/>
        <v>4335.6520229999996</v>
      </c>
      <c r="J74" s="48">
        <f t="shared" si="10"/>
        <v>39773.38311000001</v>
      </c>
      <c r="K74" s="48">
        <f t="shared" si="10"/>
        <v>4435.9562350000006</v>
      </c>
      <c r="L74" s="48">
        <f t="shared" si="10"/>
        <v>1760.3243790000001</v>
      </c>
      <c r="M74" s="48">
        <f t="shared" si="10"/>
        <v>894.75238499999989</v>
      </c>
      <c r="N74" s="51">
        <f t="shared" si="10"/>
        <v>209.549768</v>
      </c>
      <c r="O74" s="48">
        <f t="shared" si="10"/>
        <v>685.20261700000003</v>
      </c>
      <c r="P74" s="52"/>
      <c r="Q74" s="52"/>
      <c r="R74" s="53"/>
      <c r="S74" s="54">
        <f>SUM(S62:S73)</f>
        <v>7370</v>
      </c>
    </row>
    <row r="75" spans="2:19" ht="15.75" x14ac:dyDescent="0.25">
      <c r="B75" s="29"/>
      <c r="C75" s="29"/>
      <c r="D75" s="29"/>
      <c r="E75" s="29"/>
      <c r="F75" s="29"/>
      <c r="G75" s="43"/>
      <c r="H75" s="44"/>
      <c r="I75" s="31"/>
      <c r="J75" s="31"/>
      <c r="K75" s="31"/>
      <c r="L75" s="31"/>
      <c r="M75" s="31"/>
      <c r="N75" s="45"/>
      <c r="O75" s="31"/>
      <c r="P75" s="31"/>
      <c r="Q75" s="31"/>
      <c r="R75" s="45"/>
      <c r="S75" s="31"/>
    </row>
    <row r="76" spans="2:19" ht="15.75" x14ac:dyDescent="0.25">
      <c r="B76" s="29"/>
      <c r="C76" s="29"/>
      <c r="D76" s="29"/>
      <c r="E76" s="29"/>
      <c r="F76" s="29"/>
      <c r="G76" s="43"/>
      <c r="H76" s="44"/>
      <c r="I76" s="31"/>
      <c r="J76" s="31"/>
      <c r="K76" s="31"/>
      <c r="L76" s="31"/>
      <c r="M76" s="31"/>
      <c r="N76" s="45"/>
      <c r="O76" s="31"/>
      <c r="P76" s="31"/>
      <c r="Q76" s="31"/>
      <c r="R76" s="45"/>
      <c r="S76" s="31"/>
    </row>
    <row r="77" spans="2:19" ht="18.75" x14ac:dyDescent="0.3">
      <c r="B77" s="29"/>
      <c r="C77" s="33">
        <v>4</v>
      </c>
      <c r="D77" s="58" t="s">
        <v>130</v>
      </c>
      <c r="E77" s="59"/>
      <c r="F77" s="60"/>
      <c r="G77" s="43"/>
      <c r="H77" s="44"/>
      <c r="I77" s="31"/>
      <c r="J77" s="31"/>
      <c r="K77" s="31"/>
      <c r="L77" s="31"/>
      <c r="M77" s="31"/>
      <c r="N77" s="45"/>
      <c r="O77" s="31"/>
      <c r="P77" s="31"/>
      <c r="Q77" s="31"/>
      <c r="R77" s="45"/>
      <c r="S77" s="31"/>
    </row>
    <row r="78" spans="2:19" ht="15.75" x14ac:dyDescent="0.25">
      <c r="B78" s="29"/>
      <c r="C78" s="29"/>
      <c r="D78" s="29"/>
      <c r="E78" s="29"/>
      <c r="F78" s="29"/>
      <c r="G78" s="43"/>
      <c r="H78" s="44"/>
      <c r="I78" s="31"/>
      <c r="J78" s="31"/>
      <c r="K78" s="31"/>
      <c r="L78" s="31"/>
      <c r="M78" s="31"/>
      <c r="N78" s="45"/>
      <c r="O78" s="31"/>
      <c r="P78" s="31"/>
      <c r="Q78" s="31"/>
      <c r="R78" s="45"/>
      <c r="S78" s="31"/>
    </row>
    <row r="79" spans="2:19" ht="15.75" x14ac:dyDescent="0.25">
      <c r="B79" s="34">
        <v>1</v>
      </c>
      <c r="C79" s="34" t="s">
        <v>131</v>
      </c>
      <c r="D79" s="35" t="s">
        <v>132</v>
      </c>
      <c r="E79" s="36">
        <v>42551</v>
      </c>
      <c r="F79" s="37">
        <v>550</v>
      </c>
      <c r="G79" s="38">
        <v>10</v>
      </c>
      <c r="H79" s="39">
        <f t="shared" ref="H79:H101" si="11">+F79/G79</f>
        <v>55</v>
      </c>
      <c r="I79" s="37">
        <v>2690.0918029999998</v>
      </c>
      <c r="J79" s="37">
        <v>5563.3419020000001</v>
      </c>
      <c r="K79" s="37">
        <v>899.22616800000003</v>
      </c>
      <c r="L79" s="37">
        <v>165.94772</v>
      </c>
      <c r="M79" s="37">
        <v>456.04559899999998</v>
      </c>
      <c r="N79" s="39">
        <f t="shared" ref="N79:N101" si="12">+M79-O79</f>
        <v>46.548847999999964</v>
      </c>
      <c r="O79" s="37">
        <v>409.49675100000002</v>
      </c>
      <c r="P79" s="40">
        <f>70</f>
        <v>70</v>
      </c>
      <c r="Q79" s="40">
        <v>0</v>
      </c>
      <c r="R79" s="41">
        <f t="shared" ref="R79:R101" si="13">SUM(P79:Q79)</f>
        <v>70</v>
      </c>
      <c r="S79" s="42">
        <v>3205</v>
      </c>
    </row>
    <row r="80" spans="2:19" ht="15.75" x14ac:dyDescent="0.25">
      <c r="B80" s="34">
        <f>+B79+1</f>
        <v>2</v>
      </c>
      <c r="C80" s="34" t="s">
        <v>133</v>
      </c>
      <c r="D80" s="35" t="s">
        <v>134</v>
      </c>
      <c r="E80" s="36">
        <v>42735</v>
      </c>
      <c r="F80" s="37">
        <v>2200</v>
      </c>
      <c r="G80" s="38">
        <v>10</v>
      </c>
      <c r="H80" s="39">
        <f t="shared" si="11"/>
        <v>220</v>
      </c>
      <c r="I80" s="37">
        <v>694.59022900000002</v>
      </c>
      <c r="J80" s="37">
        <v>13554.003017999999</v>
      </c>
      <c r="K80" s="37">
        <v>1554.400245</v>
      </c>
      <c r="L80" s="37">
        <v>0</v>
      </c>
      <c r="M80" s="37">
        <v>-1097.5778829999999</v>
      </c>
      <c r="N80" s="39">
        <f t="shared" si="12"/>
        <v>-362.05432299999995</v>
      </c>
      <c r="O80" s="37">
        <v>-735.52355999999997</v>
      </c>
      <c r="P80" s="40">
        <v>0</v>
      </c>
      <c r="Q80" s="40">
        <v>0</v>
      </c>
      <c r="R80" s="41">
        <f t="shared" si="13"/>
        <v>0</v>
      </c>
      <c r="S80" s="42">
        <v>482</v>
      </c>
    </row>
    <row r="81" spans="2:19" ht="15.75" x14ac:dyDescent="0.25">
      <c r="B81" s="34">
        <f t="shared" ref="B81:B101" si="14">+B80+1</f>
        <v>3</v>
      </c>
      <c r="C81" s="34" t="s">
        <v>135</v>
      </c>
      <c r="D81" s="35" t="s">
        <v>136</v>
      </c>
      <c r="E81" s="36">
        <v>42735</v>
      </c>
      <c r="F81" s="37">
        <v>586.27700000000004</v>
      </c>
      <c r="G81" s="38">
        <v>10</v>
      </c>
      <c r="H81" s="39">
        <f>+F81/G81</f>
        <v>58.627700000000004</v>
      </c>
      <c r="I81" s="37">
        <v>3172.6030000000001</v>
      </c>
      <c r="J81" s="37">
        <v>3659.0439999999999</v>
      </c>
      <c r="K81" s="37">
        <v>860.35400000000004</v>
      </c>
      <c r="L81" s="37">
        <v>13.04</v>
      </c>
      <c r="M81" s="37">
        <v>734.28099999999995</v>
      </c>
      <c r="N81" s="39">
        <f>+M81-O81</f>
        <v>23.048000000000002</v>
      </c>
      <c r="O81" s="37">
        <v>711.23299999999995</v>
      </c>
      <c r="P81" s="40">
        <f>25+25</f>
        <v>50</v>
      </c>
      <c r="Q81" s="40">
        <v>0</v>
      </c>
      <c r="R81" s="41">
        <f>SUM(P81:Q81)</f>
        <v>50</v>
      </c>
      <c r="S81" s="42">
        <v>1976</v>
      </c>
    </row>
    <row r="82" spans="2:19" ht="15.75" x14ac:dyDescent="0.25">
      <c r="B82" s="34">
        <f t="shared" si="14"/>
        <v>4</v>
      </c>
      <c r="C82" s="34" t="s">
        <v>137</v>
      </c>
      <c r="D82" s="35" t="s">
        <v>138</v>
      </c>
      <c r="E82" s="36">
        <v>42551</v>
      </c>
      <c r="F82" s="37">
        <v>249.965</v>
      </c>
      <c r="G82" s="38">
        <v>10</v>
      </c>
      <c r="H82" s="39">
        <f t="shared" si="11"/>
        <v>24.996500000000001</v>
      </c>
      <c r="I82" s="37">
        <v>223.54908499999999</v>
      </c>
      <c r="J82" s="37">
        <v>240.300861</v>
      </c>
      <c r="K82" s="37">
        <v>21.949846000000001</v>
      </c>
      <c r="L82" s="37">
        <v>5.7896999999999997E-2</v>
      </c>
      <c r="M82" s="37">
        <v>-0.49807499999999999</v>
      </c>
      <c r="N82" s="39">
        <f t="shared" si="12"/>
        <v>-1.502948</v>
      </c>
      <c r="O82" s="37">
        <v>1.0048729999999999</v>
      </c>
      <c r="P82" s="40">
        <v>0</v>
      </c>
      <c r="Q82" s="40">
        <v>0</v>
      </c>
      <c r="R82" s="41">
        <f t="shared" si="13"/>
        <v>0</v>
      </c>
      <c r="S82" s="42">
        <v>3425</v>
      </c>
    </row>
    <row r="83" spans="2:19" ht="15.75" x14ac:dyDescent="0.25">
      <c r="B83" s="34">
        <f t="shared" si="14"/>
        <v>5</v>
      </c>
      <c r="C83" s="34" t="s">
        <v>139</v>
      </c>
      <c r="D83" s="35" t="s">
        <v>140</v>
      </c>
      <c r="E83" s="36">
        <v>42551</v>
      </c>
      <c r="F83" s="37">
        <v>441</v>
      </c>
      <c r="G83" s="38">
        <v>10</v>
      </c>
      <c r="H83" s="39">
        <f t="shared" si="11"/>
        <v>44.1</v>
      </c>
      <c r="I83" s="37">
        <v>351.59769</v>
      </c>
      <c r="J83" s="37">
        <v>1262.6300759999999</v>
      </c>
      <c r="K83" s="37">
        <v>73.625874999999994</v>
      </c>
      <c r="L83" s="37">
        <v>7.4212E-2</v>
      </c>
      <c r="M83" s="37">
        <v>-111.43941100000001</v>
      </c>
      <c r="N83" s="39">
        <f t="shared" si="12"/>
        <v>1.1750889999999998</v>
      </c>
      <c r="O83" s="37">
        <v>-112.61450000000001</v>
      </c>
      <c r="P83" s="40">
        <v>0</v>
      </c>
      <c r="Q83" s="40">
        <v>0</v>
      </c>
      <c r="R83" s="41">
        <f t="shared" si="13"/>
        <v>0</v>
      </c>
      <c r="S83" s="42">
        <v>399</v>
      </c>
    </row>
    <row r="84" spans="2:19" ht="15.75" x14ac:dyDescent="0.25">
      <c r="B84" s="34">
        <f t="shared" si="14"/>
        <v>6</v>
      </c>
      <c r="C84" s="34" t="s">
        <v>141</v>
      </c>
      <c r="D84" s="35" t="s">
        <v>142</v>
      </c>
      <c r="E84" s="36">
        <v>42551</v>
      </c>
      <c r="F84" s="37">
        <v>1413.355</v>
      </c>
      <c r="G84" s="38">
        <v>10</v>
      </c>
      <c r="H84" s="39">
        <f t="shared" si="11"/>
        <v>141.3355</v>
      </c>
      <c r="I84" s="37">
        <v>75.544351000000006</v>
      </c>
      <c r="J84" s="37">
        <v>3882.5324260000002</v>
      </c>
      <c r="K84" s="37">
        <v>58.210709999999999</v>
      </c>
      <c r="L84" s="37">
        <v>188.989743</v>
      </c>
      <c r="M84" s="37">
        <v>49.623728</v>
      </c>
      <c r="N84" s="39">
        <f t="shared" si="12"/>
        <v>18.464815999999999</v>
      </c>
      <c r="O84" s="37">
        <v>31.158912000000001</v>
      </c>
      <c r="P84" s="40">
        <v>0</v>
      </c>
      <c r="Q84" s="40">
        <v>0</v>
      </c>
      <c r="R84" s="41">
        <f t="shared" si="13"/>
        <v>0</v>
      </c>
      <c r="S84" s="42">
        <v>174</v>
      </c>
    </row>
    <row r="85" spans="2:19" ht="15.75" x14ac:dyDescent="0.25">
      <c r="B85" s="34">
        <f t="shared" si="14"/>
        <v>7</v>
      </c>
      <c r="C85" s="34" t="s">
        <v>143</v>
      </c>
      <c r="D85" s="35" t="s">
        <v>144</v>
      </c>
      <c r="E85" s="36">
        <v>42551</v>
      </c>
      <c r="F85" s="37">
        <v>650</v>
      </c>
      <c r="G85" s="38">
        <v>10</v>
      </c>
      <c r="H85" s="39">
        <f>+F85/G85</f>
        <v>65</v>
      </c>
      <c r="I85" s="37">
        <v>716.95583999999997</v>
      </c>
      <c r="J85" s="37">
        <v>1012.248058</v>
      </c>
      <c r="K85" s="37">
        <v>99.018422000000001</v>
      </c>
      <c r="L85" s="37">
        <v>3.152987</v>
      </c>
      <c r="M85" s="37">
        <v>65.203018999999998</v>
      </c>
      <c r="N85" s="39">
        <f>+M85-O85</f>
        <v>21.338605000000001</v>
      </c>
      <c r="O85" s="37">
        <v>43.864413999999996</v>
      </c>
      <c r="P85" s="40">
        <v>0</v>
      </c>
      <c r="Q85" s="40">
        <v>0</v>
      </c>
      <c r="R85" s="41">
        <f>SUM(P85:Q85)</f>
        <v>0</v>
      </c>
      <c r="S85" s="42">
        <v>1013</v>
      </c>
    </row>
    <row r="86" spans="2:19" ht="15.75" x14ac:dyDescent="0.25">
      <c r="B86" s="34">
        <f t="shared" si="14"/>
        <v>8</v>
      </c>
      <c r="C86" s="34" t="s">
        <v>145</v>
      </c>
      <c r="D86" s="35" t="s">
        <v>146</v>
      </c>
      <c r="E86" s="36">
        <v>42551</v>
      </c>
      <c r="F86" s="37">
        <v>3166.1011199999998</v>
      </c>
      <c r="G86" s="38">
        <v>10</v>
      </c>
      <c r="H86" s="39">
        <f t="shared" si="11"/>
        <v>316.61011199999996</v>
      </c>
      <c r="I86" s="37">
        <v>4189.5943219999999</v>
      </c>
      <c r="J86" s="37">
        <v>4241.5738709999996</v>
      </c>
      <c r="K86" s="37">
        <v>51.287388999999997</v>
      </c>
      <c r="L86" s="37">
        <v>2.4542000000000001E-2</v>
      </c>
      <c r="M86" s="37">
        <v>-797.34282599999995</v>
      </c>
      <c r="N86" s="39">
        <f t="shared" si="12"/>
        <v>1.7483700000000226</v>
      </c>
      <c r="O86" s="37">
        <v>-799.09119599999997</v>
      </c>
      <c r="P86" s="40">
        <v>0</v>
      </c>
      <c r="Q86" s="40">
        <v>0</v>
      </c>
      <c r="R86" s="41">
        <f t="shared" si="13"/>
        <v>0</v>
      </c>
      <c r="S86" s="42">
        <v>2985</v>
      </c>
    </row>
    <row r="87" spans="2:19" ht="15.75" x14ac:dyDescent="0.25">
      <c r="B87" s="34">
        <f t="shared" si="14"/>
        <v>9</v>
      </c>
      <c r="C87" s="34" t="s">
        <v>147</v>
      </c>
      <c r="D87" s="35" t="s">
        <v>148</v>
      </c>
      <c r="E87" s="36">
        <v>42551</v>
      </c>
      <c r="F87" s="37">
        <v>1483.9</v>
      </c>
      <c r="G87" s="38">
        <v>10</v>
      </c>
      <c r="H87" s="39">
        <f t="shared" si="11"/>
        <v>148.39000000000001</v>
      </c>
      <c r="I87" s="37">
        <v>685.59414700000002</v>
      </c>
      <c r="J87" s="37">
        <v>1343.6598039999999</v>
      </c>
      <c r="K87" s="37">
        <v>35.122486000000002</v>
      </c>
      <c r="L87" s="37">
        <v>19.442685000000001</v>
      </c>
      <c r="M87" s="37">
        <v>22.471063999999998</v>
      </c>
      <c r="N87" s="39">
        <f t="shared" si="12"/>
        <v>-477.79797500000001</v>
      </c>
      <c r="O87" s="37">
        <v>500.26903900000002</v>
      </c>
      <c r="P87" s="40">
        <v>0</v>
      </c>
      <c r="Q87" s="40">
        <v>0</v>
      </c>
      <c r="R87" s="41">
        <f t="shared" si="13"/>
        <v>0</v>
      </c>
      <c r="S87" s="42">
        <v>2936</v>
      </c>
    </row>
    <row r="88" spans="2:19" ht="15.75" x14ac:dyDescent="0.25">
      <c r="B88" s="34">
        <f t="shared" si="14"/>
        <v>10</v>
      </c>
      <c r="C88" s="34" t="s">
        <v>149</v>
      </c>
      <c r="D88" s="35" t="s">
        <v>150</v>
      </c>
      <c r="E88" s="36">
        <v>42551</v>
      </c>
      <c r="F88" s="37">
        <v>1418.0983100000001</v>
      </c>
      <c r="G88" s="38">
        <v>10</v>
      </c>
      <c r="H88" s="39">
        <f t="shared" si="11"/>
        <v>141.809831</v>
      </c>
      <c r="I88" s="37">
        <v>149.16123999999999</v>
      </c>
      <c r="J88" s="37">
        <v>1431.9121520000001</v>
      </c>
      <c r="K88" s="37">
        <v>63.064473</v>
      </c>
      <c r="L88" s="37">
        <v>29.726103999999999</v>
      </c>
      <c r="M88" s="37">
        <v>96.644596000000007</v>
      </c>
      <c r="N88" s="39">
        <f t="shared" si="12"/>
        <v>-38.405807999999979</v>
      </c>
      <c r="O88" s="37">
        <v>135.05040399999999</v>
      </c>
      <c r="P88" s="40">
        <v>0</v>
      </c>
      <c r="Q88" s="40">
        <v>0</v>
      </c>
      <c r="R88" s="41">
        <f t="shared" si="13"/>
        <v>0</v>
      </c>
      <c r="S88" s="42">
        <v>888</v>
      </c>
    </row>
    <row r="89" spans="2:19" ht="15.75" x14ac:dyDescent="0.25">
      <c r="B89" s="34">
        <f t="shared" si="14"/>
        <v>11</v>
      </c>
      <c r="C89" s="34" t="s">
        <v>151</v>
      </c>
      <c r="D89" s="35" t="s">
        <v>152</v>
      </c>
      <c r="E89" s="36">
        <v>42551</v>
      </c>
      <c r="F89" s="37">
        <v>2848.66896</v>
      </c>
      <c r="G89" s="38">
        <v>10</v>
      </c>
      <c r="H89" s="39">
        <f t="shared" si="11"/>
        <v>284.866896</v>
      </c>
      <c r="I89" s="37">
        <v>243.54179199999999</v>
      </c>
      <c r="J89" s="37">
        <v>1118.100105</v>
      </c>
      <c r="K89" s="37">
        <v>58.775241000000001</v>
      </c>
      <c r="L89" s="37">
        <v>16.092265999999999</v>
      </c>
      <c r="M89" s="37">
        <v>39.191991000000002</v>
      </c>
      <c r="N89" s="39">
        <f t="shared" si="12"/>
        <v>-1.0656639999999982</v>
      </c>
      <c r="O89" s="37">
        <v>40.257655</v>
      </c>
      <c r="P89" s="40">
        <v>0</v>
      </c>
      <c r="Q89" s="40">
        <v>0</v>
      </c>
      <c r="R89" s="41">
        <f t="shared" si="13"/>
        <v>0</v>
      </c>
      <c r="S89" s="42">
        <v>8782</v>
      </c>
    </row>
    <row r="90" spans="2:19" ht="15.75" x14ac:dyDescent="0.25">
      <c r="B90" s="34">
        <f t="shared" si="14"/>
        <v>12</v>
      </c>
      <c r="C90" s="34" t="s">
        <v>153</v>
      </c>
      <c r="D90" s="35" t="s">
        <v>154</v>
      </c>
      <c r="E90" s="36">
        <v>42551</v>
      </c>
      <c r="F90" s="37">
        <v>200.15649999999999</v>
      </c>
      <c r="G90" s="38">
        <v>10</v>
      </c>
      <c r="H90" s="39">
        <f t="shared" si="11"/>
        <v>20.015650000000001</v>
      </c>
      <c r="I90" s="37">
        <v>191.93172100000001</v>
      </c>
      <c r="J90" s="37">
        <v>275.78303599999998</v>
      </c>
      <c r="K90" s="37">
        <v>82.735301000000007</v>
      </c>
      <c r="L90" s="37">
        <v>0.84011999999999998</v>
      </c>
      <c r="M90" s="37">
        <v>-5.9233370000000001</v>
      </c>
      <c r="N90" s="39">
        <f t="shared" si="12"/>
        <v>3.7502089999999999</v>
      </c>
      <c r="O90" s="37">
        <v>-9.673546</v>
      </c>
      <c r="P90" s="40">
        <v>0</v>
      </c>
      <c r="Q90" s="40">
        <v>0</v>
      </c>
      <c r="R90" s="41">
        <f t="shared" si="13"/>
        <v>0</v>
      </c>
      <c r="S90" s="42">
        <v>3196</v>
      </c>
    </row>
    <row r="91" spans="2:19" ht="15.75" x14ac:dyDescent="0.25">
      <c r="B91" s="34">
        <f t="shared" si="14"/>
        <v>13</v>
      </c>
      <c r="C91" s="34" t="s">
        <v>155</v>
      </c>
      <c r="D91" s="35" t="s">
        <v>156</v>
      </c>
      <c r="E91" s="36">
        <v>42551</v>
      </c>
      <c r="F91" s="37">
        <v>2121.0250000000001</v>
      </c>
      <c r="G91" s="38">
        <v>10</v>
      </c>
      <c r="H91" s="39">
        <f t="shared" si="11"/>
        <v>212.10250000000002</v>
      </c>
      <c r="I91" s="37">
        <v>49.057000000000002</v>
      </c>
      <c r="J91" s="37">
        <v>664.11900000000003</v>
      </c>
      <c r="K91" s="37">
        <v>16.571000000000002</v>
      </c>
      <c r="L91" s="37">
        <v>6.2050000000000001</v>
      </c>
      <c r="M91" s="37">
        <v>-2.4689999999999999</v>
      </c>
      <c r="N91" s="39">
        <f t="shared" si="12"/>
        <v>-2.2429999999999999</v>
      </c>
      <c r="O91" s="37">
        <v>-0.22600000000000001</v>
      </c>
      <c r="P91" s="40">
        <v>0</v>
      </c>
      <c r="Q91" s="40">
        <v>0</v>
      </c>
      <c r="R91" s="41">
        <f t="shared" si="13"/>
        <v>0</v>
      </c>
      <c r="S91" s="42">
        <v>3373</v>
      </c>
    </row>
    <row r="92" spans="2:19" ht="15.75" x14ac:dyDescent="0.25">
      <c r="B92" s="34">
        <f t="shared" si="14"/>
        <v>14</v>
      </c>
      <c r="C92" s="34" t="s">
        <v>157</v>
      </c>
      <c r="D92" s="35" t="s">
        <v>158</v>
      </c>
      <c r="E92" s="36">
        <v>42735</v>
      </c>
      <c r="F92" s="37">
        <v>9159.4240000000009</v>
      </c>
      <c r="G92" s="38">
        <v>10</v>
      </c>
      <c r="H92" s="39">
        <f t="shared" si="11"/>
        <v>915.94240000000013</v>
      </c>
      <c r="I92" s="37">
        <v>30054.53</v>
      </c>
      <c r="J92" s="37">
        <v>32563.342000000001</v>
      </c>
      <c r="K92" s="37">
        <v>946.22500000000002</v>
      </c>
      <c r="L92" s="37">
        <v>144.68199999999999</v>
      </c>
      <c r="M92" s="37">
        <v>869.74</v>
      </c>
      <c r="N92" s="39">
        <f t="shared" si="12"/>
        <v>247.69899999999996</v>
      </c>
      <c r="O92" s="37">
        <v>622.04100000000005</v>
      </c>
      <c r="P92" s="40">
        <v>0</v>
      </c>
      <c r="Q92" s="40">
        <v>0</v>
      </c>
      <c r="R92" s="41">
        <f t="shared" si="13"/>
        <v>0</v>
      </c>
      <c r="S92" s="42">
        <v>8715</v>
      </c>
    </row>
    <row r="93" spans="2:19" ht="15.75" x14ac:dyDescent="0.25">
      <c r="B93" s="34">
        <f t="shared" si="14"/>
        <v>15</v>
      </c>
      <c r="C93" s="34" t="s">
        <v>159</v>
      </c>
      <c r="D93" s="35" t="s">
        <v>160</v>
      </c>
      <c r="E93" s="36">
        <v>42735</v>
      </c>
      <c r="F93" s="37">
        <v>380.07</v>
      </c>
      <c r="G93" s="38">
        <v>10</v>
      </c>
      <c r="H93" s="39">
        <f t="shared" si="11"/>
        <v>38.006999999999998</v>
      </c>
      <c r="I93" s="37">
        <v>2555.5029589999999</v>
      </c>
      <c r="J93" s="37">
        <v>4458.2160290000002</v>
      </c>
      <c r="K93" s="37">
        <v>748.41257399999995</v>
      </c>
      <c r="L93" s="37">
        <v>0.62054200000000004</v>
      </c>
      <c r="M93" s="37">
        <v>239.007034</v>
      </c>
      <c r="N93" s="39">
        <f t="shared" si="12"/>
        <v>67.97153800000001</v>
      </c>
      <c r="O93" s="37">
        <v>171.03549599999999</v>
      </c>
      <c r="P93" s="40">
        <v>0</v>
      </c>
      <c r="Q93" s="40">
        <v>0</v>
      </c>
      <c r="R93" s="41">
        <f t="shared" si="13"/>
        <v>0</v>
      </c>
      <c r="S93" s="42">
        <v>1103</v>
      </c>
    </row>
    <row r="94" spans="2:19" ht="15.75" x14ac:dyDescent="0.25">
      <c r="B94" s="34">
        <f t="shared" si="14"/>
        <v>16</v>
      </c>
      <c r="C94" s="34" t="s">
        <v>161</v>
      </c>
      <c r="D94" s="35" t="s">
        <v>162</v>
      </c>
      <c r="E94" s="36">
        <v>42735</v>
      </c>
      <c r="F94" s="37">
        <v>801.71817999999996</v>
      </c>
      <c r="G94" s="38">
        <v>10</v>
      </c>
      <c r="H94" s="39">
        <f t="shared" si="11"/>
        <v>80.171818000000002</v>
      </c>
      <c r="I94" s="37">
        <v>2573.7397059999998</v>
      </c>
      <c r="J94" s="37">
        <v>3074.007521</v>
      </c>
      <c r="K94" s="37">
        <v>451.52896299999998</v>
      </c>
      <c r="L94" s="37">
        <v>1.7663000000000002E-2</v>
      </c>
      <c r="M94" s="37">
        <v>209.795995</v>
      </c>
      <c r="N94" s="39">
        <f t="shared" si="12"/>
        <v>10.098141999999996</v>
      </c>
      <c r="O94" s="37">
        <v>199.69785300000001</v>
      </c>
      <c r="P94" s="40">
        <f>5</f>
        <v>5</v>
      </c>
      <c r="Q94" s="40">
        <v>0</v>
      </c>
      <c r="R94" s="41">
        <f t="shared" si="13"/>
        <v>5</v>
      </c>
      <c r="S94" s="42">
        <v>2239</v>
      </c>
    </row>
    <row r="95" spans="2:19" ht="15.75" x14ac:dyDescent="0.25">
      <c r="B95" s="34">
        <f t="shared" si="14"/>
        <v>17</v>
      </c>
      <c r="C95" s="34" t="s">
        <v>163</v>
      </c>
      <c r="D95" s="35" t="s">
        <v>164</v>
      </c>
      <c r="E95" s="36">
        <v>42735</v>
      </c>
      <c r="F95" s="37">
        <v>1000</v>
      </c>
      <c r="G95" s="38">
        <v>10</v>
      </c>
      <c r="H95" s="39">
        <f t="shared" si="11"/>
        <v>100</v>
      </c>
      <c r="I95" s="37">
        <v>1080.758</v>
      </c>
      <c r="J95" s="37">
        <v>2377.337</v>
      </c>
      <c r="K95" s="37">
        <v>328.84500000000003</v>
      </c>
      <c r="L95" s="37">
        <v>0</v>
      </c>
      <c r="M95" s="37">
        <v>17.404</v>
      </c>
      <c r="N95" s="39">
        <f t="shared" si="12"/>
        <v>-1.7109999999999985</v>
      </c>
      <c r="O95" s="37">
        <v>19.114999999999998</v>
      </c>
      <c r="P95" s="40">
        <v>0</v>
      </c>
      <c r="Q95" s="40">
        <v>0</v>
      </c>
      <c r="R95" s="41">
        <f t="shared" si="13"/>
        <v>0</v>
      </c>
      <c r="S95" s="42">
        <v>4816</v>
      </c>
    </row>
    <row r="96" spans="2:19" ht="15.75" x14ac:dyDescent="0.25">
      <c r="B96" s="34">
        <f t="shared" si="14"/>
        <v>18</v>
      </c>
      <c r="C96" s="34" t="s">
        <v>165</v>
      </c>
      <c r="D96" s="35" t="s">
        <v>166</v>
      </c>
      <c r="E96" s="36">
        <v>42551</v>
      </c>
      <c r="F96" s="37">
        <v>720</v>
      </c>
      <c r="G96" s="38">
        <v>10</v>
      </c>
      <c r="H96" s="39">
        <f t="shared" si="11"/>
        <v>72</v>
      </c>
      <c r="I96" s="37">
        <v>1549.228787</v>
      </c>
      <c r="J96" s="37">
        <v>2173.8708969999998</v>
      </c>
      <c r="K96" s="37">
        <v>782.36836800000003</v>
      </c>
      <c r="L96" s="37">
        <v>0.45485399999999998</v>
      </c>
      <c r="M96" s="37">
        <v>349.81025299999999</v>
      </c>
      <c r="N96" s="39">
        <f t="shared" si="12"/>
        <v>110.70136699999998</v>
      </c>
      <c r="O96" s="37">
        <v>239.10888600000001</v>
      </c>
      <c r="P96" s="40">
        <f>15+17.5</f>
        <v>32.5</v>
      </c>
      <c r="Q96" s="40">
        <v>0</v>
      </c>
      <c r="R96" s="41">
        <f t="shared" si="13"/>
        <v>32.5</v>
      </c>
      <c r="S96" s="42">
        <v>1050</v>
      </c>
    </row>
    <row r="97" spans="2:19" ht="15.75" x14ac:dyDescent="0.25">
      <c r="B97" s="34">
        <f t="shared" si="14"/>
        <v>19</v>
      </c>
      <c r="C97" s="34" t="s">
        <v>167</v>
      </c>
      <c r="D97" s="35" t="s">
        <v>168</v>
      </c>
      <c r="E97" s="36">
        <v>42551</v>
      </c>
      <c r="F97" s="37">
        <v>200</v>
      </c>
      <c r="G97" s="38">
        <v>10</v>
      </c>
      <c r="H97" s="39">
        <f>+F97/G97</f>
        <v>20</v>
      </c>
      <c r="I97" s="37">
        <v>162.09036599999999</v>
      </c>
      <c r="J97" s="37">
        <v>658.59132999999997</v>
      </c>
      <c r="K97" s="37">
        <v>186.58919900000001</v>
      </c>
      <c r="L97" s="37">
        <v>26.582538</v>
      </c>
      <c r="M97" s="37">
        <v>-5.7028939999999997</v>
      </c>
      <c r="N97" s="39">
        <f>+M97-O97</f>
        <v>10.443148999999998</v>
      </c>
      <c r="O97" s="37">
        <v>-16.146042999999999</v>
      </c>
      <c r="P97" s="40">
        <v>0</v>
      </c>
      <c r="Q97" s="40">
        <v>0</v>
      </c>
      <c r="R97" s="41">
        <f>SUM(P97:Q97)</f>
        <v>0</v>
      </c>
      <c r="S97" s="42">
        <v>456</v>
      </c>
    </row>
    <row r="98" spans="2:19" ht="15.75" x14ac:dyDescent="0.25">
      <c r="B98" s="34">
        <f t="shared" si="14"/>
        <v>20</v>
      </c>
      <c r="C98" s="34" t="s">
        <v>169</v>
      </c>
      <c r="D98" s="35" t="s">
        <v>170</v>
      </c>
      <c r="E98" s="36">
        <v>42551</v>
      </c>
      <c r="F98" s="37">
        <v>1865.68487</v>
      </c>
      <c r="G98" s="38">
        <v>10</v>
      </c>
      <c r="H98" s="39">
        <f t="shared" si="11"/>
        <v>186.568487</v>
      </c>
      <c r="I98" s="37">
        <v>-251.329578</v>
      </c>
      <c r="J98" s="37">
        <v>425.41491300000001</v>
      </c>
      <c r="K98" s="37">
        <v>0.47395100000000001</v>
      </c>
      <c r="L98" s="37">
        <v>0</v>
      </c>
      <c r="M98" s="37">
        <v>-236.59265500000001</v>
      </c>
      <c r="N98" s="39">
        <f t="shared" si="12"/>
        <v>6.5115999999989072E-2</v>
      </c>
      <c r="O98" s="37">
        <v>-236.657771</v>
      </c>
      <c r="P98" s="40">
        <v>0</v>
      </c>
      <c r="Q98" s="40">
        <v>0</v>
      </c>
      <c r="R98" s="41">
        <f t="shared" si="13"/>
        <v>0</v>
      </c>
      <c r="S98" s="42">
        <v>8248</v>
      </c>
    </row>
    <row r="99" spans="2:19" ht="15.75" x14ac:dyDescent="0.25">
      <c r="B99" s="34">
        <f t="shared" si="14"/>
        <v>21</v>
      </c>
      <c r="C99" s="34" t="s">
        <v>171</v>
      </c>
      <c r="D99" s="35" t="s">
        <v>172</v>
      </c>
      <c r="E99" s="36">
        <v>42735</v>
      </c>
      <c r="F99" s="37">
        <v>514.33558000000005</v>
      </c>
      <c r="G99" s="38">
        <v>10</v>
      </c>
      <c r="H99" s="39">
        <f t="shared" si="11"/>
        <v>51.433558000000005</v>
      </c>
      <c r="I99" s="37">
        <v>601.79942800000003</v>
      </c>
      <c r="J99" s="37">
        <v>635.98067000000003</v>
      </c>
      <c r="K99" s="37">
        <v>52.138427999999998</v>
      </c>
      <c r="L99" s="37">
        <v>1.244801</v>
      </c>
      <c r="M99" s="37">
        <v>11.300941</v>
      </c>
      <c r="N99" s="39">
        <f t="shared" si="12"/>
        <v>2.4933409999999991</v>
      </c>
      <c r="O99" s="37">
        <v>8.8076000000000008</v>
      </c>
      <c r="P99" s="40">
        <v>0</v>
      </c>
      <c r="Q99" s="40">
        <v>0</v>
      </c>
      <c r="R99" s="41">
        <f t="shared" si="13"/>
        <v>0</v>
      </c>
      <c r="S99" s="42">
        <v>2233</v>
      </c>
    </row>
    <row r="100" spans="2:19" ht="15.75" x14ac:dyDescent="0.25">
      <c r="B100" s="34">
        <f t="shared" si="14"/>
        <v>22</v>
      </c>
      <c r="C100" s="34" t="s">
        <v>173</v>
      </c>
      <c r="D100" s="35" t="s">
        <v>174</v>
      </c>
      <c r="E100" s="36">
        <v>42551</v>
      </c>
      <c r="F100" s="37">
        <v>892.028729</v>
      </c>
      <c r="G100" s="38">
        <v>10</v>
      </c>
      <c r="H100" s="39">
        <f t="shared" si="11"/>
        <v>89.202872900000003</v>
      </c>
      <c r="I100" s="37">
        <v>-1569.9152260000001</v>
      </c>
      <c r="J100" s="37">
        <v>4363.2975960000003</v>
      </c>
      <c r="K100" s="37">
        <v>94.539494000000005</v>
      </c>
      <c r="L100" s="37">
        <v>0.76819199999999999</v>
      </c>
      <c r="M100" s="37">
        <v>22.280473000000001</v>
      </c>
      <c r="N100" s="39">
        <f t="shared" si="12"/>
        <v>0.10664099999999976</v>
      </c>
      <c r="O100" s="37">
        <v>22.173832000000001</v>
      </c>
      <c r="P100" s="40">
        <v>0</v>
      </c>
      <c r="Q100" s="40">
        <v>0</v>
      </c>
      <c r="R100" s="41">
        <f t="shared" si="13"/>
        <v>0</v>
      </c>
      <c r="S100" s="42">
        <v>2307</v>
      </c>
    </row>
    <row r="101" spans="2:19" ht="15.75" x14ac:dyDescent="0.25">
      <c r="B101" s="34">
        <f t="shared" si="14"/>
        <v>23</v>
      </c>
      <c r="C101" s="34" t="s">
        <v>175</v>
      </c>
      <c r="D101" s="35" t="s">
        <v>176</v>
      </c>
      <c r="E101" s="36">
        <v>42551</v>
      </c>
      <c r="F101" s="37">
        <v>100</v>
      </c>
      <c r="G101" s="38">
        <v>10</v>
      </c>
      <c r="H101" s="39">
        <f t="shared" si="11"/>
        <v>10</v>
      </c>
      <c r="I101" s="37">
        <v>14.647891</v>
      </c>
      <c r="J101" s="37">
        <v>33.392462999999999</v>
      </c>
      <c r="K101" s="37">
        <v>3.6453009999999999</v>
      </c>
      <c r="L101" s="37">
        <v>1.026E-2</v>
      </c>
      <c r="M101" s="37">
        <v>7.9337059999999999</v>
      </c>
      <c r="N101" s="39">
        <f t="shared" si="12"/>
        <v>0.11993299999999962</v>
      </c>
      <c r="O101" s="37">
        <v>7.8137730000000003</v>
      </c>
      <c r="P101" s="40">
        <v>0</v>
      </c>
      <c r="Q101" s="40">
        <v>0</v>
      </c>
      <c r="R101" s="41">
        <f t="shared" si="13"/>
        <v>0</v>
      </c>
      <c r="S101" s="42">
        <v>1043</v>
      </c>
    </row>
    <row r="102" spans="2:19" ht="15.75" x14ac:dyDescent="0.25">
      <c r="B102" s="29"/>
      <c r="C102" s="29"/>
      <c r="D102" s="29"/>
      <c r="E102" s="29"/>
      <c r="F102" s="29"/>
      <c r="G102" s="43"/>
      <c r="H102" s="44"/>
      <c r="I102" s="31"/>
      <c r="J102" s="31"/>
      <c r="K102" s="31"/>
      <c r="L102" s="31"/>
      <c r="M102" s="31"/>
      <c r="N102" s="45"/>
      <c r="O102" s="31"/>
      <c r="P102" s="31"/>
      <c r="Q102" s="31"/>
      <c r="R102" s="45"/>
      <c r="S102" s="31"/>
    </row>
    <row r="103" spans="2:19" ht="18.75" x14ac:dyDescent="0.3">
      <c r="B103" s="29"/>
      <c r="C103" s="29"/>
      <c r="D103" s="57" t="s">
        <v>45</v>
      </c>
      <c r="E103" s="29"/>
      <c r="F103" s="29"/>
      <c r="G103" s="43"/>
      <c r="H103" s="44"/>
      <c r="I103" s="31"/>
      <c r="J103" s="31"/>
      <c r="K103" s="31"/>
      <c r="L103" s="31"/>
      <c r="M103" s="31"/>
      <c r="N103" s="45"/>
      <c r="O103" s="31"/>
      <c r="P103" s="31"/>
      <c r="Q103" s="31"/>
      <c r="R103" s="45"/>
      <c r="S103" s="31"/>
    </row>
    <row r="104" spans="2:19" ht="15.75" x14ac:dyDescent="0.25">
      <c r="B104" s="34">
        <v>1</v>
      </c>
      <c r="C104" s="34" t="s">
        <v>177</v>
      </c>
      <c r="D104" s="47" t="s">
        <v>178</v>
      </c>
      <c r="E104" s="36">
        <v>42551</v>
      </c>
      <c r="F104" s="37"/>
      <c r="G104" s="38">
        <v>10</v>
      </c>
      <c r="H104" s="39">
        <f t="shared" ref="H104:H109" si="15">+F104/G104</f>
        <v>0</v>
      </c>
      <c r="I104" s="37"/>
      <c r="J104" s="37"/>
      <c r="K104" s="37"/>
      <c r="L104" s="37"/>
      <c r="M104" s="37"/>
      <c r="N104" s="39">
        <f t="shared" ref="N104:N109" si="16">+M104-O104</f>
        <v>0</v>
      </c>
      <c r="O104" s="37"/>
      <c r="P104" s="40"/>
      <c r="Q104" s="40"/>
      <c r="R104" s="41">
        <f t="shared" ref="R104:R109" si="17">SUM(P104:Q104)</f>
        <v>0</v>
      </c>
      <c r="S104" s="42"/>
    </row>
    <row r="105" spans="2:19" ht="15.75" x14ac:dyDescent="0.25">
      <c r="B105" s="34">
        <f>+B104+1</f>
        <v>2</v>
      </c>
      <c r="C105" s="34" t="s">
        <v>179</v>
      </c>
      <c r="D105" s="35" t="s">
        <v>180</v>
      </c>
      <c r="E105" s="36">
        <v>42551</v>
      </c>
      <c r="F105" s="37">
        <v>149.73750000000001</v>
      </c>
      <c r="G105" s="38">
        <v>10</v>
      </c>
      <c r="H105" s="39">
        <f>+F105/G105</f>
        <v>14.973750000000001</v>
      </c>
      <c r="I105" s="37">
        <v>210.52645000000001</v>
      </c>
      <c r="J105" s="37">
        <v>231.653368</v>
      </c>
      <c r="K105" s="37">
        <v>12.343140999999999</v>
      </c>
      <c r="L105" s="37">
        <v>1.183E-3</v>
      </c>
      <c r="M105" s="37">
        <v>-24.864229000000002</v>
      </c>
      <c r="N105" s="39">
        <f>+M105-O105</f>
        <v>0.15540099999999768</v>
      </c>
      <c r="O105" s="37">
        <v>-25.019629999999999</v>
      </c>
      <c r="P105" s="40">
        <v>0</v>
      </c>
      <c r="Q105" s="40">
        <v>0</v>
      </c>
      <c r="R105" s="41">
        <f>SUM(P105:Q105)</f>
        <v>0</v>
      </c>
      <c r="S105" s="42">
        <v>619</v>
      </c>
    </row>
    <row r="106" spans="2:19" ht="15.75" x14ac:dyDescent="0.25">
      <c r="B106" s="34">
        <f>+B105+1</f>
        <v>3</v>
      </c>
      <c r="C106" s="34" t="s">
        <v>181</v>
      </c>
      <c r="D106" s="35" t="s">
        <v>182</v>
      </c>
      <c r="E106" s="36">
        <v>42551</v>
      </c>
      <c r="F106" s="37"/>
      <c r="G106" s="38">
        <v>10</v>
      </c>
      <c r="H106" s="39">
        <f t="shared" si="15"/>
        <v>0</v>
      </c>
      <c r="I106" s="37"/>
      <c r="J106" s="37"/>
      <c r="K106" s="37"/>
      <c r="L106" s="37"/>
      <c r="M106" s="37"/>
      <c r="N106" s="39">
        <f t="shared" si="16"/>
        <v>0</v>
      </c>
      <c r="O106" s="37"/>
      <c r="P106" s="40"/>
      <c r="Q106" s="40"/>
      <c r="R106" s="41">
        <f t="shared" si="17"/>
        <v>0</v>
      </c>
      <c r="S106" s="42"/>
    </row>
    <row r="107" spans="2:19" ht="15.75" x14ac:dyDescent="0.25">
      <c r="B107" s="34">
        <f>+B106+1</f>
        <v>4</v>
      </c>
      <c r="C107" s="34" t="s">
        <v>183</v>
      </c>
      <c r="D107" s="35" t="s">
        <v>184</v>
      </c>
      <c r="E107" s="36">
        <v>42551</v>
      </c>
      <c r="F107" s="37">
        <v>508.2</v>
      </c>
      <c r="G107" s="38">
        <v>10</v>
      </c>
      <c r="H107" s="39">
        <f>+F107/G107</f>
        <v>50.82</v>
      </c>
      <c r="I107" s="37">
        <v>-195.44690800000001</v>
      </c>
      <c r="J107" s="37">
        <v>52.585740999999999</v>
      </c>
      <c r="K107" s="37">
        <v>1.2296400000000001</v>
      </c>
      <c r="L107" s="37">
        <v>1.152E-3</v>
      </c>
      <c r="M107" s="37">
        <v>-1.33694</v>
      </c>
      <c r="N107" s="39">
        <f>+M107-O107</f>
        <v>0.15113500000000002</v>
      </c>
      <c r="O107" s="37">
        <v>-1.488075</v>
      </c>
      <c r="P107" s="40">
        <v>0</v>
      </c>
      <c r="Q107" s="40">
        <v>0</v>
      </c>
      <c r="R107" s="41">
        <f>SUM(P107:Q107)</f>
        <v>0</v>
      </c>
      <c r="S107" s="42">
        <v>9419</v>
      </c>
    </row>
    <row r="108" spans="2:19" ht="15.75" x14ac:dyDescent="0.25">
      <c r="B108" s="34">
        <f>+B107+1</f>
        <v>5</v>
      </c>
      <c r="C108" s="34" t="s">
        <v>185</v>
      </c>
      <c r="D108" s="35" t="s">
        <v>186</v>
      </c>
      <c r="E108" s="36">
        <v>42551</v>
      </c>
      <c r="F108" s="37"/>
      <c r="G108" s="38">
        <v>10</v>
      </c>
      <c r="H108" s="39">
        <f t="shared" si="15"/>
        <v>0</v>
      </c>
      <c r="I108" s="37"/>
      <c r="J108" s="37"/>
      <c r="K108" s="37"/>
      <c r="L108" s="37"/>
      <c r="M108" s="37"/>
      <c r="N108" s="39">
        <f t="shared" si="16"/>
        <v>0</v>
      </c>
      <c r="O108" s="37"/>
      <c r="P108" s="40"/>
      <c r="Q108" s="40"/>
      <c r="R108" s="41">
        <f t="shared" si="17"/>
        <v>0</v>
      </c>
      <c r="S108" s="42"/>
    </row>
    <row r="109" spans="2:19" ht="15.75" x14ac:dyDescent="0.25">
      <c r="B109" s="34">
        <f>+B108+1</f>
        <v>6</v>
      </c>
      <c r="C109" s="34" t="s">
        <v>187</v>
      </c>
      <c r="D109" s="35" t="s">
        <v>188</v>
      </c>
      <c r="E109" s="36">
        <v>42551</v>
      </c>
      <c r="F109" s="37"/>
      <c r="G109" s="38">
        <v>10</v>
      </c>
      <c r="H109" s="39">
        <f t="shared" si="15"/>
        <v>0</v>
      </c>
      <c r="I109" s="37"/>
      <c r="J109" s="37"/>
      <c r="K109" s="37"/>
      <c r="L109" s="37"/>
      <c r="M109" s="37"/>
      <c r="N109" s="39">
        <f t="shared" si="16"/>
        <v>0</v>
      </c>
      <c r="O109" s="37"/>
      <c r="P109" s="40"/>
      <c r="Q109" s="40"/>
      <c r="R109" s="41">
        <f t="shared" si="17"/>
        <v>0</v>
      </c>
      <c r="S109" s="42"/>
    </row>
    <row r="110" spans="2:19" ht="15.75" x14ac:dyDescent="0.25">
      <c r="B110" s="29"/>
      <c r="C110" s="29"/>
      <c r="D110" s="29"/>
      <c r="E110" s="29"/>
      <c r="F110" s="29"/>
      <c r="G110" s="43"/>
      <c r="H110" s="44"/>
      <c r="I110" s="31"/>
      <c r="J110" s="31"/>
      <c r="K110" s="31"/>
      <c r="L110" s="31"/>
      <c r="M110" s="31"/>
      <c r="N110" s="45"/>
      <c r="O110" s="31"/>
      <c r="P110" s="31"/>
      <c r="Q110" s="31"/>
      <c r="R110" s="45"/>
      <c r="S110" s="31"/>
    </row>
    <row r="111" spans="2:19" ht="15.75" x14ac:dyDescent="0.25">
      <c r="B111" s="34">
        <f>COUNT(B79:B110)</f>
        <v>29</v>
      </c>
      <c r="C111" s="34"/>
      <c r="D111" s="48"/>
      <c r="E111" s="48"/>
      <c r="F111" s="48">
        <f>SUM(F79:F110)</f>
        <v>33619.745748999994</v>
      </c>
      <c r="G111" s="49"/>
      <c r="H111" s="50">
        <f t="shared" ref="H111:O111" si="18">SUM(H79:H110)</f>
        <v>3361.9745749000003</v>
      </c>
      <c r="I111" s="48">
        <f t="shared" si="18"/>
        <v>50219.944094999999</v>
      </c>
      <c r="J111" s="48">
        <f t="shared" si="18"/>
        <v>89296.937837000005</v>
      </c>
      <c r="K111" s="48">
        <f t="shared" si="18"/>
        <v>7482.6802150000003</v>
      </c>
      <c r="L111" s="48">
        <f t="shared" si="18"/>
        <v>617.97646099999997</v>
      </c>
      <c r="M111" s="48">
        <f t="shared" si="18"/>
        <v>906.98614900000007</v>
      </c>
      <c r="N111" s="51">
        <f t="shared" si="18"/>
        <v>-318.70201800000007</v>
      </c>
      <c r="O111" s="48">
        <f t="shared" si="18"/>
        <v>1225.6881670000002</v>
      </c>
      <c r="P111" s="52"/>
      <c r="Q111" s="52"/>
      <c r="R111" s="53"/>
      <c r="S111" s="54">
        <f>SUM(S79:S110)</f>
        <v>75082</v>
      </c>
    </row>
    <row r="112" spans="2:19" ht="15.75" x14ac:dyDescent="0.25">
      <c r="B112" s="29"/>
      <c r="C112" s="29"/>
      <c r="D112" s="29"/>
      <c r="E112" s="29"/>
      <c r="F112" s="29"/>
      <c r="G112" s="43"/>
      <c r="H112" s="44"/>
      <c r="I112" s="31"/>
      <c r="J112" s="31"/>
      <c r="K112" s="31"/>
      <c r="L112" s="31"/>
      <c r="M112" s="31"/>
      <c r="N112" s="45"/>
      <c r="O112" s="31"/>
      <c r="P112" s="31"/>
      <c r="Q112" s="31"/>
      <c r="R112" s="45"/>
      <c r="S112" s="31"/>
    </row>
    <row r="113" spans="2:19" ht="15.75" x14ac:dyDescent="0.25">
      <c r="B113" s="29"/>
      <c r="C113" s="29"/>
      <c r="D113" s="29"/>
      <c r="E113" s="29"/>
      <c r="F113" s="29"/>
      <c r="G113" s="43"/>
      <c r="H113" s="44"/>
      <c r="I113" s="31"/>
      <c r="J113" s="31"/>
      <c r="K113" s="31"/>
      <c r="L113" s="31"/>
      <c r="M113" s="31"/>
      <c r="N113" s="45"/>
      <c r="O113" s="31"/>
      <c r="P113" s="31"/>
      <c r="Q113" s="31"/>
      <c r="R113" s="45"/>
      <c r="S113" s="31"/>
    </row>
    <row r="114" spans="2:19" ht="18.75" x14ac:dyDescent="0.3">
      <c r="B114" s="29"/>
      <c r="C114" s="33">
        <v>5</v>
      </c>
      <c r="D114" s="33" t="s">
        <v>189</v>
      </c>
      <c r="E114" s="61"/>
      <c r="F114" s="61"/>
      <c r="G114" s="43"/>
      <c r="H114" s="44"/>
      <c r="I114" s="31"/>
      <c r="J114" s="31"/>
      <c r="K114" s="31"/>
      <c r="L114" s="31"/>
      <c r="M114" s="31"/>
      <c r="N114" s="45"/>
      <c r="O114" s="31"/>
      <c r="P114" s="31"/>
      <c r="Q114" s="31"/>
      <c r="R114" s="45"/>
      <c r="S114" s="31"/>
    </row>
    <row r="115" spans="2:19" ht="15.75" x14ac:dyDescent="0.25">
      <c r="B115" s="29"/>
      <c r="C115" s="29"/>
      <c r="D115" s="29"/>
      <c r="E115" s="29"/>
      <c r="F115" s="29"/>
      <c r="G115" s="43"/>
      <c r="H115" s="44"/>
      <c r="I115" s="31"/>
      <c r="J115" s="31"/>
      <c r="K115" s="31"/>
      <c r="L115" s="31"/>
      <c r="M115" s="31"/>
      <c r="N115" s="45"/>
      <c r="O115" s="31"/>
      <c r="P115" s="31"/>
      <c r="Q115" s="31"/>
      <c r="R115" s="45"/>
      <c r="S115" s="31"/>
    </row>
    <row r="116" spans="2:19" ht="15.75" x14ac:dyDescent="0.25">
      <c r="B116" s="55">
        <v>1</v>
      </c>
      <c r="C116" s="55" t="s">
        <v>190</v>
      </c>
      <c r="D116" s="35" t="s">
        <v>191</v>
      </c>
      <c r="E116" s="36">
        <v>42735</v>
      </c>
      <c r="F116" s="37">
        <v>11450.739</v>
      </c>
      <c r="G116" s="38">
        <v>10</v>
      </c>
      <c r="H116" s="39">
        <f t="shared" ref="H116:H136" si="19">+F116/G116</f>
        <v>1145.0738999999999</v>
      </c>
      <c r="I116" s="37">
        <v>74474.467999999993</v>
      </c>
      <c r="J116" s="37">
        <v>1069614.4080000001</v>
      </c>
      <c r="K116" s="37">
        <v>75816.509999999995</v>
      </c>
      <c r="L116" s="37">
        <v>0</v>
      </c>
      <c r="M116" s="37">
        <v>23831.218000000001</v>
      </c>
      <c r="N116" s="39">
        <f t="shared" ref="N116:N136" si="20">+M116-O116</f>
        <v>9404.1680000000015</v>
      </c>
      <c r="O116" s="37">
        <v>14427.05</v>
      </c>
      <c r="P116" s="40">
        <f>17.5+17.5+20+17.5</f>
        <v>72.5</v>
      </c>
      <c r="Q116" s="40">
        <v>0</v>
      </c>
      <c r="R116" s="41">
        <f t="shared" ref="R116:R136" si="21">SUM(P116:Q116)</f>
        <v>72.5</v>
      </c>
      <c r="S116" s="42">
        <v>19672</v>
      </c>
    </row>
    <row r="117" spans="2:19" ht="15.75" x14ac:dyDescent="0.25">
      <c r="B117" s="55">
        <f>+B116+1</f>
        <v>2</v>
      </c>
      <c r="C117" s="34" t="s">
        <v>192</v>
      </c>
      <c r="D117" s="35" t="s">
        <v>193</v>
      </c>
      <c r="E117" s="36">
        <v>42735</v>
      </c>
      <c r="F117" s="37">
        <v>12602.602000000001</v>
      </c>
      <c r="G117" s="38">
        <v>10</v>
      </c>
      <c r="H117" s="39">
        <f t="shared" si="19"/>
        <v>1260.2602000000002</v>
      </c>
      <c r="I117" s="37">
        <v>25357.493999999999</v>
      </c>
      <c r="J117" s="37">
        <v>619139.19299999997</v>
      </c>
      <c r="K117" s="37">
        <v>42618.667999999998</v>
      </c>
      <c r="L117" s="37">
        <v>0</v>
      </c>
      <c r="M117" s="37">
        <v>8476.9480000000003</v>
      </c>
      <c r="N117" s="39">
        <f t="shared" si="20"/>
        <v>3256.3130000000001</v>
      </c>
      <c r="O117" s="37">
        <v>5220.6350000000002</v>
      </c>
      <c r="P117" s="40">
        <f>15</f>
        <v>15</v>
      </c>
      <c r="Q117" s="40">
        <v>0</v>
      </c>
      <c r="R117" s="41">
        <f t="shared" si="21"/>
        <v>15</v>
      </c>
      <c r="S117" s="42">
        <v>16598</v>
      </c>
    </row>
    <row r="118" spans="2:19" ht="15.75" x14ac:dyDescent="0.25">
      <c r="B118" s="55">
        <f t="shared" ref="B118:B136" si="22">+B117+1</f>
        <v>3</v>
      </c>
      <c r="C118" s="34" t="s">
        <v>194</v>
      </c>
      <c r="D118" s="35" t="s">
        <v>195</v>
      </c>
      <c r="E118" s="36">
        <v>42735</v>
      </c>
      <c r="F118" s="37">
        <v>11114.254000000001</v>
      </c>
      <c r="G118" s="38">
        <v>10</v>
      </c>
      <c r="H118" s="39">
        <f t="shared" si="19"/>
        <v>1111.4254000000001</v>
      </c>
      <c r="I118" s="37">
        <v>35922.372000000003</v>
      </c>
      <c r="J118" s="37">
        <v>751395.81599999999</v>
      </c>
      <c r="K118" s="37">
        <v>52856.616000000002</v>
      </c>
      <c r="L118" s="37">
        <v>0</v>
      </c>
      <c r="M118" s="37">
        <v>13163.986999999999</v>
      </c>
      <c r="N118" s="39">
        <f t="shared" si="20"/>
        <v>5044.7579999999989</v>
      </c>
      <c r="O118" s="37">
        <v>8119.2290000000003</v>
      </c>
      <c r="P118" s="40">
        <f>35</f>
        <v>35</v>
      </c>
      <c r="Q118" s="40">
        <v>0</v>
      </c>
      <c r="R118" s="41">
        <f t="shared" si="21"/>
        <v>35</v>
      </c>
      <c r="S118" s="42">
        <v>6857</v>
      </c>
    </row>
    <row r="119" spans="2:19" ht="15.75" x14ac:dyDescent="0.25">
      <c r="B119" s="55">
        <f t="shared" si="22"/>
        <v>4</v>
      </c>
      <c r="C119" s="34" t="s">
        <v>196</v>
      </c>
      <c r="D119" s="35" t="s">
        <v>197</v>
      </c>
      <c r="E119" s="36">
        <v>42735</v>
      </c>
      <c r="F119" s="37">
        <v>15952.075999999999</v>
      </c>
      <c r="G119" s="38">
        <v>10</v>
      </c>
      <c r="H119" s="39">
        <f t="shared" si="19"/>
        <v>1595.2076</v>
      </c>
      <c r="I119" s="37">
        <v>49185.186000000002</v>
      </c>
      <c r="J119" s="37">
        <v>917457.05299999996</v>
      </c>
      <c r="K119" s="37">
        <v>66112.702999999994</v>
      </c>
      <c r="L119" s="37">
        <v>0</v>
      </c>
      <c r="M119" s="37">
        <v>13023.159</v>
      </c>
      <c r="N119" s="39">
        <f t="shared" si="20"/>
        <v>5123.2509999999993</v>
      </c>
      <c r="O119" s="37">
        <v>7899.9080000000004</v>
      </c>
      <c r="P119" s="40">
        <v>0</v>
      </c>
      <c r="Q119" s="40">
        <v>0</v>
      </c>
      <c r="R119" s="41">
        <f t="shared" si="21"/>
        <v>0</v>
      </c>
      <c r="S119" s="42">
        <v>12579</v>
      </c>
    </row>
    <row r="120" spans="2:19" ht="15.75" x14ac:dyDescent="0.25">
      <c r="B120" s="55">
        <f t="shared" si="22"/>
        <v>5</v>
      </c>
      <c r="C120" s="34" t="s">
        <v>198</v>
      </c>
      <c r="D120" s="35" t="s">
        <v>199</v>
      </c>
      <c r="E120" s="36">
        <v>42735</v>
      </c>
      <c r="F120" s="37">
        <v>15551.132</v>
      </c>
      <c r="G120" s="38">
        <v>10</v>
      </c>
      <c r="H120" s="39">
        <f t="shared" si="19"/>
        <v>1555.1132</v>
      </c>
      <c r="I120" s="37">
        <v>24247.584999999999</v>
      </c>
      <c r="J120" s="37">
        <v>545214.13100000005</v>
      </c>
      <c r="K120" s="37">
        <v>34968.917999999998</v>
      </c>
      <c r="L120" s="37">
        <v>0</v>
      </c>
      <c r="M120" s="37">
        <v>8049.9409999999998</v>
      </c>
      <c r="N120" s="39">
        <f t="shared" si="20"/>
        <v>3191.5869999999995</v>
      </c>
      <c r="O120" s="37">
        <v>4858.3540000000003</v>
      </c>
      <c r="P120" s="40">
        <v>0</v>
      </c>
      <c r="Q120" s="40">
        <v>0</v>
      </c>
      <c r="R120" s="41">
        <f t="shared" si="21"/>
        <v>0</v>
      </c>
      <c r="S120" s="42">
        <v>19381</v>
      </c>
    </row>
    <row r="121" spans="2:19" ht="15.75" x14ac:dyDescent="0.25">
      <c r="B121" s="55">
        <f t="shared" si="22"/>
        <v>6</v>
      </c>
      <c r="C121" s="34" t="s">
        <v>200</v>
      </c>
      <c r="D121" s="35" t="s">
        <v>201</v>
      </c>
      <c r="E121" s="36">
        <v>42735</v>
      </c>
      <c r="F121" s="37">
        <v>10079.120999999999</v>
      </c>
      <c r="G121" s="38">
        <v>10</v>
      </c>
      <c r="H121" s="39">
        <f t="shared" si="19"/>
        <v>1007.9120999999999</v>
      </c>
      <c r="I121" s="37">
        <v>10826.268</v>
      </c>
      <c r="J121" s="37">
        <v>180846.17</v>
      </c>
      <c r="K121" s="37">
        <v>10765.227999999999</v>
      </c>
      <c r="L121" s="37">
        <v>0</v>
      </c>
      <c r="M121" s="37">
        <v>843.75699999999995</v>
      </c>
      <c r="N121" s="39">
        <f t="shared" si="20"/>
        <v>391.45699999999994</v>
      </c>
      <c r="O121" s="37">
        <v>452.3</v>
      </c>
      <c r="P121" s="40">
        <v>0</v>
      </c>
      <c r="Q121" s="40">
        <v>0</v>
      </c>
      <c r="R121" s="41">
        <f t="shared" si="21"/>
        <v>0</v>
      </c>
      <c r="S121" s="42">
        <v>21138</v>
      </c>
    </row>
    <row r="122" spans="2:19" ht="15.75" x14ac:dyDescent="0.25">
      <c r="B122" s="55">
        <f t="shared" si="22"/>
        <v>7</v>
      </c>
      <c r="C122" s="34" t="s">
        <v>202</v>
      </c>
      <c r="D122" s="35" t="s">
        <v>203</v>
      </c>
      <c r="E122" s="36">
        <v>42735</v>
      </c>
      <c r="F122" s="37">
        <v>11997.601000000001</v>
      </c>
      <c r="G122" s="38">
        <v>10</v>
      </c>
      <c r="H122" s="39">
        <f t="shared" si="19"/>
        <v>1199.7601</v>
      </c>
      <c r="I122" s="37">
        <v>29141.719000000001</v>
      </c>
      <c r="J122" s="37">
        <v>444464.66100000002</v>
      </c>
      <c r="K122" s="37">
        <v>32968.703999999998</v>
      </c>
      <c r="L122" s="37">
        <v>0</v>
      </c>
      <c r="M122" s="37">
        <v>6658.6369999999997</v>
      </c>
      <c r="N122" s="39">
        <f t="shared" si="20"/>
        <v>2356.8649999999998</v>
      </c>
      <c r="O122" s="37">
        <v>4301.7719999999999</v>
      </c>
      <c r="P122" s="40">
        <v>0</v>
      </c>
      <c r="Q122" s="40">
        <v>10</v>
      </c>
      <c r="R122" s="41">
        <f t="shared" si="21"/>
        <v>10</v>
      </c>
      <c r="S122" s="42">
        <v>17606</v>
      </c>
    </row>
    <row r="123" spans="2:19" ht="15.75" x14ac:dyDescent="0.25">
      <c r="B123" s="55">
        <f t="shared" si="22"/>
        <v>8</v>
      </c>
      <c r="C123" s="34" t="s">
        <v>204</v>
      </c>
      <c r="D123" s="35" t="s">
        <v>205</v>
      </c>
      <c r="E123" s="36">
        <v>42735</v>
      </c>
      <c r="F123" s="37">
        <v>14668.525</v>
      </c>
      <c r="G123" s="38">
        <v>10</v>
      </c>
      <c r="H123" s="39">
        <f t="shared" si="19"/>
        <v>1466.8525</v>
      </c>
      <c r="I123" s="37">
        <v>159261.511</v>
      </c>
      <c r="J123" s="37">
        <v>2393783.3790000002</v>
      </c>
      <c r="K123" s="37">
        <v>163293.51300000001</v>
      </c>
      <c r="L123" s="37">
        <v>0</v>
      </c>
      <c r="M123" s="37">
        <v>52246.038999999997</v>
      </c>
      <c r="N123" s="39">
        <f t="shared" si="20"/>
        <v>20425.819999999996</v>
      </c>
      <c r="O123" s="37">
        <v>31820.219000000001</v>
      </c>
      <c r="P123" s="40">
        <f>35+35+35+35</f>
        <v>140</v>
      </c>
      <c r="Q123" s="40">
        <v>0</v>
      </c>
      <c r="R123" s="41">
        <f t="shared" si="21"/>
        <v>140</v>
      </c>
      <c r="S123" s="42">
        <v>94779</v>
      </c>
    </row>
    <row r="124" spans="2:19" ht="15.75" x14ac:dyDescent="0.25">
      <c r="B124" s="55">
        <f t="shared" si="22"/>
        <v>9</v>
      </c>
      <c r="C124" s="34" t="s">
        <v>206</v>
      </c>
      <c r="D124" s="35" t="s">
        <v>207</v>
      </c>
      <c r="E124" s="36">
        <v>42735</v>
      </c>
      <c r="F124" s="37">
        <v>10478.315000000001</v>
      </c>
      <c r="G124" s="38">
        <v>10</v>
      </c>
      <c r="H124" s="39">
        <f t="shared" si="19"/>
        <v>1047.8315</v>
      </c>
      <c r="I124" s="37">
        <v>37165.328999999998</v>
      </c>
      <c r="J124" s="37">
        <v>526606.41700000002</v>
      </c>
      <c r="K124" s="37">
        <v>42008.337</v>
      </c>
      <c r="L124" s="37">
        <v>0</v>
      </c>
      <c r="M124" s="37">
        <v>10333.746999999999</v>
      </c>
      <c r="N124" s="39">
        <f t="shared" si="20"/>
        <v>4214.4229999999998</v>
      </c>
      <c r="O124" s="37">
        <v>6119.3239999999996</v>
      </c>
      <c r="P124" s="40">
        <f>30</f>
        <v>30</v>
      </c>
      <c r="Q124" s="40">
        <v>0</v>
      </c>
      <c r="R124" s="41">
        <f t="shared" si="21"/>
        <v>30</v>
      </c>
      <c r="S124" s="42">
        <v>2950</v>
      </c>
    </row>
    <row r="125" spans="2:19" ht="15.75" x14ac:dyDescent="0.25">
      <c r="B125" s="55">
        <f t="shared" si="22"/>
        <v>10</v>
      </c>
      <c r="C125" s="34" t="s">
        <v>208</v>
      </c>
      <c r="D125" s="35" t="s">
        <v>209</v>
      </c>
      <c r="E125" s="36">
        <v>42735</v>
      </c>
      <c r="F125" s="37">
        <v>10724.643</v>
      </c>
      <c r="G125" s="38">
        <v>10</v>
      </c>
      <c r="H125" s="39">
        <f t="shared" si="19"/>
        <v>1072.4643000000001</v>
      </c>
      <c r="I125" s="37">
        <v>15426.705</v>
      </c>
      <c r="J125" s="37">
        <v>264700.49300000002</v>
      </c>
      <c r="K125" s="37">
        <v>19942.284</v>
      </c>
      <c r="L125" s="37">
        <v>0</v>
      </c>
      <c r="M125" s="37">
        <v>3389.9360000000001</v>
      </c>
      <c r="N125" s="39">
        <f t="shared" si="20"/>
        <v>1313.3200000000002</v>
      </c>
      <c r="O125" s="37">
        <v>2076.616</v>
      </c>
      <c r="P125" s="40">
        <v>0</v>
      </c>
      <c r="Q125" s="40">
        <v>0</v>
      </c>
      <c r="R125" s="41">
        <f t="shared" si="21"/>
        <v>0</v>
      </c>
      <c r="S125" s="42">
        <v>4857</v>
      </c>
    </row>
    <row r="126" spans="2:19" ht="15.75" x14ac:dyDescent="0.25">
      <c r="B126" s="55">
        <f t="shared" si="22"/>
        <v>11</v>
      </c>
      <c r="C126" s="34" t="s">
        <v>210</v>
      </c>
      <c r="D126" s="35" t="s">
        <v>211</v>
      </c>
      <c r="E126" s="36">
        <v>42735</v>
      </c>
      <c r="F126" s="37">
        <v>11130.307000000001</v>
      </c>
      <c r="G126" s="38">
        <v>10</v>
      </c>
      <c r="H126" s="39">
        <f t="shared" si="19"/>
        <v>1113.0307</v>
      </c>
      <c r="I126" s="37">
        <v>117946.24000000001</v>
      </c>
      <c r="J126" s="37">
        <v>1051813.6810000001</v>
      </c>
      <c r="K126" s="37">
        <v>83643.922000000006</v>
      </c>
      <c r="L126" s="37">
        <v>0</v>
      </c>
      <c r="M126" s="37">
        <v>36074.69</v>
      </c>
      <c r="N126" s="39">
        <f t="shared" si="20"/>
        <v>14183.794000000002</v>
      </c>
      <c r="O126" s="37">
        <v>21890.896000000001</v>
      </c>
      <c r="P126" s="40">
        <f>40+40+40+40</f>
        <v>160</v>
      </c>
      <c r="Q126" s="40">
        <v>0</v>
      </c>
      <c r="R126" s="41">
        <f t="shared" si="21"/>
        <v>160</v>
      </c>
      <c r="S126" s="42">
        <v>40578</v>
      </c>
    </row>
    <row r="127" spans="2:19" ht="15.75" x14ac:dyDescent="0.25">
      <c r="B127" s="55">
        <f t="shared" si="22"/>
        <v>12</v>
      </c>
      <c r="C127" s="34" t="s">
        <v>212</v>
      </c>
      <c r="D127" s="35" t="s">
        <v>213</v>
      </c>
      <c r="E127" s="36">
        <v>42735</v>
      </c>
      <c r="F127" s="37">
        <v>10027.379000000001</v>
      </c>
      <c r="G127" s="38">
        <v>10</v>
      </c>
      <c r="H127" s="39">
        <f t="shared" si="19"/>
        <v>1002.7379000000001</v>
      </c>
      <c r="I127" s="37">
        <v>28149.073</v>
      </c>
      <c r="J127" s="37">
        <v>657767.09699999995</v>
      </c>
      <c r="K127" s="37">
        <v>37226.815000000002</v>
      </c>
      <c r="L127" s="37">
        <v>0</v>
      </c>
      <c r="M127" s="37">
        <v>8942.8359999999993</v>
      </c>
      <c r="N127" s="39">
        <f t="shared" si="20"/>
        <v>3381.2249999999995</v>
      </c>
      <c r="O127" s="37">
        <v>5561.6109999999999</v>
      </c>
      <c r="P127" s="40">
        <f>17.5+12.5</f>
        <v>30</v>
      </c>
      <c r="Q127" s="40">
        <v>0</v>
      </c>
      <c r="R127" s="41">
        <f t="shared" si="21"/>
        <v>30</v>
      </c>
      <c r="S127" s="42">
        <v>2052</v>
      </c>
    </row>
    <row r="128" spans="2:19" ht="15.75" x14ac:dyDescent="0.25">
      <c r="B128" s="55">
        <f t="shared" si="22"/>
        <v>13</v>
      </c>
      <c r="C128" s="34" t="s">
        <v>214</v>
      </c>
      <c r="D128" s="35" t="s">
        <v>215</v>
      </c>
      <c r="E128" s="36">
        <v>42735</v>
      </c>
      <c r="F128" s="37">
        <v>21275.131000000001</v>
      </c>
      <c r="G128" s="38">
        <v>10</v>
      </c>
      <c r="H128" s="39">
        <f t="shared" si="19"/>
        <v>2127.5131000000001</v>
      </c>
      <c r="I128" s="37">
        <v>120014.62300000001</v>
      </c>
      <c r="J128" s="37">
        <v>1975705.764</v>
      </c>
      <c r="K128" s="37">
        <v>144369.27600000001</v>
      </c>
      <c r="L128" s="37">
        <v>0</v>
      </c>
      <c r="M128" s="37">
        <v>37141.214999999997</v>
      </c>
      <c r="N128" s="39">
        <f t="shared" si="20"/>
        <v>14388.929999999997</v>
      </c>
      <c r="O128" s="37">
        <v>22752.285</v>
      </c>
      <c r="P128" s="40">
        <f>75</f>
        <v>75</v>
      </c>
      <c r="Q128" s="40">
        <v>0</v>
      </c>
      <c r="R128" s="41">
        <f t="shared" si="21"/>
        <v>75</v>
      </c>
      <c r="S128" s="42">
        <v>11401</v>
      </c>
    </row>
    <row r="129" spans="2:19" ht="15.75" x14ac:dyDescent="0.25">
      <c r="B129" s="55">
        <f t="shared" si="22"/>
        <v>14</v>
      </c>
      <c r="C129" s="34" t="s">
        <v>216</v>
      </c>
      <c r="D129" s="35" t="s">
        <v>217</v>
      </c>
      <c r="E129" s="36">
        <v>42735</v>
      </c>
      <c r="F129" s="37">
        <v>103028.512</v>
      </c>
      <c r="G129" s="38">
        <v>10</v>
      </c>
      <c r="H129" s="39">
        <f t="shared" si="19"/>
        <v>10302.851200000001</v>
      </c>
      <c r="I129" s="37">
        <v>18482.745999999999</v>
      </c>
      <c r="J129" s="37">
        <v>243944.86799999999</v>
      </c>
      <c r="K129" s="37">
        <v>18277.428</v>
      </c>
      <c r="L129" s="37">
        <v>0</v>
      </c>
      <c r="M129" s="37">
        <v>2519.2919999999999</v>
      </c>
      <c r="N129" s="39">
        <f t="shared" si="20"/>
        <v>1098.9279999999999</v>
      </c>
      <c r="O129" s="37">
        <v>1420.364</v>
      </c>
      <c r="P129" s="40">
        <v>0</v>
      </c>
      <c r="Q129" s="40">
        <v>0</v>
      </c>
      <c r="R129" s="41">
        <f t="shared" si="21"/>
        <v>0</v>
      </c>
      <c r="S129" s="42">
        <v>24290</v>
      </c>
    </row>
    <row r="130" spans="2:19" ht="15.75" x14ac:dyDescent="0.25">
      <c r="B130" s="55">
        <f t="shared" si="22"/>
        <v>15</v>
      </c>
      <c r="C130" s="34" t="s">
        <v>218</v>
      </c>
      <c r="D130" s="35" t="s">
        <v>219</v>
      </c>
      <c r="E130" s="36">
        <v>42735</v>
      </c>
      <c r="F130" s="37">
        <v>10082.387000000001</v>
      </c>
      <c r="G130" s="38">
        <v>10</v>
      </c>
      <c r="H130" s="39">
        <f t="shared" si="19"/>
        <v>1008.2387000000001</v>
      </c>
      <c r="I130" s="37">
        <v>11742.188</v>
      </c>
      <c r="J130" s="37">
        <v>101414.49099999999</v>
      </c>
      <c r="K130" s="37">
        <v>6761.4629999999997</v>
      </c>
      <c r="L130" s="37">
        <v>0</v>
      </c>
      <c r="M130" s="37">
        <v>926.45500000000004</v>
      </c>
      <c r="N130" s="39">
        <f t="shared" si="20"/>
        <v>381.85300000000007</v>
      </c>
      <c r="O130" s="37">
        <v>544.60199999999998</v>
      </c>
      <c r="P130" s="40">
        <v>0</v>
      </c>
      <c r="Q130" s="40">
        <v>0</v>
      </c>
      <c r="R130" s="41">
        <f t="shared" si="21"/>
        <v>0</v>
      </c>
      <c r="S130" s="42">
        <v>5471</v>
      </c>
    </row>
    <row r="131" spans="2:19" ht="15.75" x14ac:dyDescent="0.25">
      <c r="B131" s="55">
        <f t="shared" si="22"/>
        <v>16</v>
      </c>
      <c r="C131" s="34" t="s">
        <v>220</v>
      </c>
      <c r="D131" s="35" t="s">
        <v>221</v>
      </c>
      <c r="E131" s="36">
        <v>42735</v>
      </c>
      <c r="F131" s="37">
        <v>77998.099000000002</v>
      </c>
      <c r="G131" s="38">
        <v>10</v>
      </c>
      <c r="H131" s="39">
        <f t="shared" si="19"/>
        <v>7799.8099000000002</v>
      </c>
      <c r="I131" s="37">
        <v>12002.108</v>
      </c>
      <c r="J131" s="37">
        <v>135033.82199999999</v>
      </c>
      <c r="K131" s="37">
        <v>12171.717000000001</v>
      </c>
      <c r="L131" s="37">
        <v>0</v>
      </c>
      <c r="M131" s="37">
        <v>1285.1320000000001</v>
      </c>
      <c r="N131" s="39">
        <f t="shared" si="20"/>
        <v>546.57900000000006</v>
      </c>
      <c r="O131" s="37">
        <v>738.553</v>
      </c>
      <c r="P131" s="40">
        <v>0</v>
      </c>
      <c r="Q131" s="40">
        <v>0</v>
      </c>
      <c r="R131" s="41">
        <f t="shared" si="21"/>
        <v>0</v>
      </c>
      <c r="S131" s="42">
        <v>8507</v>
      </c>
    </row>
    <row r="132" spans="2:19" ht="15.75" x14ac:dyDescent="0.25">
      <c r="B132" s="55">
        <f t="shared" si="22"/>
        <v>17</v>
      </c>
      <c r="C132" s="34" t="s">
        <v>222</v>
      </c>
      <c r="D132" s="35" t="s">
        <v>223</v>
      </c>
      <c r="E132" s="36">
        <v>42735</v>
      </c>
      <c r="F132" s="37">
        <v>11024.636</v>
      </c>
      <c r="G132" s="38">
        <v>10</v>
      </c>
      <c r="H132" s="39">
        <f t="shared" si="19"/>
        <v>1102.4636</v>
      </c>
      <c r="I132" s="37">
        <v>15944.77</v>
      </c>
      <c r="J132" s="37">
        <v>278520.70600000001</v>
      </c>
      <c r="K132" s="37">
        <v>20260.645</v>
      </c>
      <c r="L132" s="37">
        <v>0</v>
      </c>
      <c r="M132" s="37">
        <v>3077.3389999999999</v>
      </c>
      <c r="N132" s="39">
        <f t="shared" si="20"/>
        <v>1198.4949999999999</v>
      </c>
      <c r="O132" s="37">
        <v>1878.8440000000001</v>
      </c>
      <c r="P132" s="40">
        <f>12.5</f>
        <v>12.5</v>
      </c>
      <c r="Q132" s="40">
        <v>0</v>
      </c>
      <c r="R132" s="41">
        <f t="shared" si="21"/>
        <v>12.5</v>
      </c>
      <c r="S132" s="42">
        <v>8088</v>
      </c>
    </row>
    <row r="133" spans="2:19" ht="15.75" x14ac:dyDescent="0.25">
      <c r="B133" s="55">
        <f t="shared" si="22"/>
        <v>18</v>
      </c>
      <c r="C133" s="34" t="s">
        <v>224</v>
      </c>
      <c r="D133" s="35" t="s">
        <v>225</v>
      </c>
      <c r="E133" s="36">
        <v>42735</v>
      </c>
      <c r="F133" s="37">
        <v>38715.85</v>
      </c>
      <c r="G133" s="38">
        <v>10</v>
      </c>
      <c r="H133" s="39">
        <f t="shared" si="19"/>
        <v>3871.585</v>
      </c>
      <c r="I133" s="37">
        <v>56871.97</v>
      </c>
      <c r="J133" s="37">
        <v>473331.71799999999</v>
      </c>
      <c r="K133" s="37">
        <v>35557.775999999998</v>
      </c>
      <c r="L133" s="37">
        <v>0</v>
      </c>
      <c r="M133" s="37">
        <v>15344.866</v>
      </c>
      <c r="N133" s="39">
        <f t="shared" si="20"/>
        <v>5727.0810000000001</v>
      </c>
      <c r="O133" s="37">
        <v>9617.7849999999999</v>
      </c>
      <c r="P133" s="40">
        <f>7.5+12.5</f>
        <v>20</v>
      </c>
      <c r="Q133" s="40">
        <v>0</v>
      </c>
      <c r="R133" s="41">
        <f t="shared" si="21"/>
        <v>20</v>
      </c>
      <c r="S133" s="42">
        <v>7462</v>
      </c>
    </row>
    <row r="134" spans="2:19" ht="15.75" x14ac:dyDescent="0.25">
      <c r="B134" s="55">
        <f t="shared" si="22"/>
        <v>19</v>
      </c>
      <c r="C134" s="34" t="s">
        <v>226</v>
      </c>
      <c r="D134" s="35" t="s">
        <v>227</v>
      </c>
      <c r="E134" s="36">
        <v>42735</v>
      </c>
      <c r="F134" s="37">
        <v>17786.663</v>
      </c>
      <c r="G134" s="38">
        <v>10</v>
      </c>
      <c r="H134" s="39">
        <f t="shared" si="19"/>
        <v>1778.6663000000001</v>
      </c>
      <c r="I134" s="37">
        <v>10559.95</v>
      </c>
      <c r="J134" s="37">
        <v>215022.348</v>
      </c>
      <c r="K134" s="37">
        <v>13754.192999999999</v>
      </c>
      <c r="L134" s="37">
        <v>0</v>
      </c>
      <c r="M134" s="37">
        <v>-1917.711</v>
      </c>
      <c r="N134" s="39">
        <f t="shared" si="20"/>
        <v>256.68099999999981</v>
      </c>
      <c r="O134" s="37">
        <v>-2174.3919999999998</v>
      </c>
      <c r="P134" s="40">
        <v>0</v>
      </c>
      <c r="Q134" s="40">
        <v>0</v>
      </c>
      <c r="R134" s="41">
        <f t="shared" si="21"/>
        <v>0</v>
      </c>
      <c r="S134" s="42">
        <v>45689</v>
      </c>
    </row>
    <row r="135" spans="2:19" ht="15.75" x14ac:dyDescent="0.25">
      <c r="B135" s="55">
        <f t="shared" si="22"/>
        <v>20</v>
      </c>
      <c r="C135" s="34" t="s">
        <v>228</v>
      </c>
      <c r="D135" s="35" t="s">
        <v>229</v>
      </c>
      <c r="E135" s="36">
        <v>42735</v>
      </c>
      <c r="F135" s="37">
        <v>10002.523999999999</v>
      </c>
      <c r="G135" s="38">
        <v>10</v>
      </c>
      <c r="H135" s="39">
        <f t="shared" si="19"/>
        <v>1000.2524</v>
      </c>
      <c r="I135" s="37">
        <v>14685.245999999999</v>
      </c>
      <c r="J135" s="37">
        <v>206400.274</v>
      </c>
      <c r="K135" s="37">
        <v>14722.04</v>
      </c>
      <c r="L135" s="37">
        <v>0</v>
      </c>
      <c r="M135" s="37">
        <v>3239.951</v>
      </c>
      <c r="N135" s="39">
        <f t="shared" si="20"/>
        <v>1219.4749999999999</v>
      </c>
      <c r="O135" s="37">
        <v>2020.4760000000001</v>
      </c>
      <c r="P135" s="40">
        <v>15</v>
      </c>
      <c r="Q135" s="40">
        <v>0</v>
      </c>
      <c r="R135" s="41">
        <f t="shared" si="21"/>
        <v>15</v>
      </c>
      <c r="S135" s="42">
        <v>29459</v>
      </c>
    </row>
    <row r="136" spans="2:19" ht="15.75" x14ac:dyDescent="0.25">
      <c r="B136" s="55">
        <f t="shared" si="22"/>
        <v>21</v>
      </c>
      <c r="C136" s="34" t="s">
        <v>230</v>
      </c>
      <c r="D136" s="35" t="s">
        <v>231</v>
      </c>
      <c r="E136" s="36">
        <v>42735</v>
      </c>
      <c r="F136" s="37">
        <v>12241.798000000001</v>
      </c>
      <c r="G136" s="38">
        <v>10</v>
      </c>
      <c r="H136" s="39">
        <f t="shared" si="19"/>
        <v>1224.1798000000001</v>
      </c>
      <c r="I136" s="37">
        <v>116942.573</v>
      </c>
      <c r="J136" s="37">
        <v>1577551.023</v>
      </c>
      <c r="K136" s="37">
        <v>121827.856</v>
      </c>
      <c r="L136" s="37">
        <v>0</v>
      </c>
      <c r="M136" s="37">
        <v>46015.595999999998</v>
      </c>
      <c r="N136" s="39">
        <f t="shared" si="20"/>
        <v>18285.483999999997</v>
      </c>
      <c r="O136" s="37">
        <v>27730.112000000001</v>
      </c>
      <c r="P136" s="40">
        <f>30+30+30+40</f>
        <v>130</v>
      </c>
      <c r="Q136" s="40">
        <v>0</v>
      </c>
      <c r="R136" s="41">
        <f t="shared" si="21"/>
        <v>130</v>
      </c>
      <c r="S136" s="42">
        <v>21566</v>
      </c>
    </row>
    <row r="137" spans="2:19" ht="15.75" x14ac:dyDescent="0.25">
      <c r="B137" s="29"/>
      <c r="C137" s="29"/>
      <c r="D137" s="29"/>
      <c r="E137" s="29"/>
      <c r="F137" s="29"/>
      <c r="G137" s="43"/>
      <c r="H137" s="44"/>
      <c r="I137" s="31"/>
      <c r="J137" s="31"/>
      <c r="K137" s="31"/>
      <c r="L137" s="31"/>
      <c r="M137" s="31"/>
      <c r="N137" s="45"/>
      <c r="O137" s="31"/>
      <c r="P137" s="31"/>
      <c r="Q137" s="31"/>
      <c r="R137" s="45"/>
      <c r="S137" s="31"/>
    </row>
    <row r="138" spans="2:19" ht="15.75" x14ac:dyDescent="0.25">
      <c r="B138" s="34">
        <f>COUNT(B116:B137)</f>
        <v>21</v>
      </c>
      <c r="C138" s="34"/>
      <c r="D138" s="48"/>
      <c r="E138" s="48"/>
      <c r="F138" s="48">
        <f>SUM(F116:F137)</f>
        <v>447932.29399999994</v>
      </c>
      <c r="G138" s="49"/>
      <c r="H138" s="50">
        <f t="shared" ref="H138:O138" si="23">SUM(H116:H137)</f>
        <v>44793.229399999997</v>
      </c>
      <c r="I138" s="48">
        <f t="shared" si="23"/>
        <v>984350.12400000007</v>
      </c>
      <c r="J138" s="48">
        <f t="shared" si="23"/>
        <v>14629727.513000002</v>
      </c>
      <c r="K138" s="48">
        <f t="shared" si="23"/>
        <v>1049924.612</v>
      </c>
      <c r="L138" s="48">
        <f t="shared" si="23"/>
        <v>0</v>
      </c>
      <c r="M138" s="48">
        <f t="shared" si="23"/>
        <v>292667.02999999997</v>
      </c>
      <c r="N138" s="51">
        <f t="shared" si="23"/>
        <v>115390.48699999999</v>
      </c>
      <c r="O138" s="48">
        <f t="shared" si="23"/>
        <v>177276.54300000003</v>
      </c>
      <c r="P138" s="52"/>
      <c r="Q138" s="52"/>
      <c r="R138" s="53"/>
      <c r="S138" s="54">
        <f>SUM(S116:S137)</f>
        <v>420980</v>
      </c>
    </row>
    <row r="139" spans="2:19" ht="15.75" x14ac:dyDescent="0.25">
      <c r="B139" s="29"/>
      <c r="C139" s="29"/>
      <c r="D139" s="29"/>
      <c r="E139" s="29"/>
      <c r="F139" s="29"/>
      <c r="G139" s="43"/>
      <c r="H139" s="44"/>
      <c r="I139" s="31"/>
      <c r="J139" s="31"/>
      <c r="K139" s="31"/>
      <c r="L139" s="31"/>
      <c r="M139" s="31"/>
      <c r="N139" s="45"/>
      <c r="O139" s="31"/>
      <c r="P139" s="31"/>
      <c r="Q139" s="31"/>
      <c r="R139" s="45"/>
      <c r="S139" s="31"/>
    </row>
    <row r="140" spans="2:19" ht="15.75" x14ac:dyDescent="0.25">
      <c r="B140" s="29"/>
      <c r="C140" s="29"/>
      <c r="D140" s="29"/>
      <c r="E140" s="29"/>
      <c r="F140" s="29"/>
      <c r="G140" s="43"/>
      <c r="H140" s="44"/>
      <c r="I140" s="31"/>
      <c r="J140" s="31"/>
      <c r="K140" s="31"/>
      <c r="L140" s="31"/>
      <c r="M140" s="31"/>
      <c r="N140" s="45"/>
      <c r="O140" s="31"/>
      <c r="P140" s="31"/>
      <c r="Q140" s="31"/>
      <c r="R140" s="45"/>
      <c r="S140" s="31"/>
    </row>
    <row r="141" spans="2:19" ht="18.75" x14ac:dyDescent="0.3">
      <c r="B141" s="29"/>
      <c r="C141" s="33">
        <v>6</v>
      </c>
      <c r="D141" s="33" t="s">
        <v>232</v>
      </c>
      <c r="E141" s="61"/>
      <c r="F141" s="61"/>
      <c r="G141" s="43"/>
      <c r="H141" s="44"/>
      <c r="I141" s="31"/>
      <c r="J141" s="31"/>
      <c r="K141" s="31"/>
      <c r="L141" s="31"/>
      <c r="M141" s="31"/>
      <c r="N141" s="45"/>
      <c r="O141" s="31"/>
      <c r="P141" s="31"/>
      <c r="Q141" s="31"/>
      <c r="R141" s="45"/>
      <c r="S141" s="31"/>
    </row>
    <row r="142" spans="2:19" ht="15.75" x14ac:dyDescent="0.25">
      <c r="B142" s="29"/>
      <c r="C142" s="29"/>
      <c r="D142" s="29"/>
      <c r="E142" s="29"/>
      <c r="F142" s="29"/>
      <c r="G142" s="43"/>
      <c r="H142" s="44"/>
      <c r="I142" s="31"/>
      <c r="J142" s="31"/>
      <c r="K142" s="31"/>
      <c r="L142" s="31"/>
      <c r="M142" s="31"/>
      <c r="N142" s="45"/>
      <c r="O142" s="31"/>
      <c r="P142" s="31"/>
      <c r="Q142" s="31"/>
      <c r="R142" s="45"/>
      <c r="S142" s="31"/>
    </row>
    <row r="143" spans="2:19" ht="15.75" x14ac:dyDescent="0.25">
      <c r="B143" s="34">
        <v>1</v>
      </c>
      <c r="C143" s="34" t="s">
        <v>233</v>
      </c>
      <c r="D143" s="35" t="s">
        <v>234</v>
      </c>
      <c r="E143" s="36">
        <v>42735</v>
      </c>
      <c r="F143" s="37">
        <v>543.68100000000004</v>
      </c>
      <c r="G143" s="38">
        <v>10</v>
      </c>
      <c r="H143" s="39">
        <f t="shared" ref="H143:H166" si="24">+F143/G143</f>
        <v>54.368100000000005</v>
      </c>
      <c r="I143" s="37">
        <v>1385.172</v>
      </c>
      <c r="J143" s="37">
        <v>3726.578</v>
      </c>
      <c r="K143" s="37">
        <v>1392.6379999999999</v>
      </c>
      <c r="L143" s="37">
        <v>0</v>
      </c>
      <c r="M143" s="37">
        <v>320.51600000000002</v>
      </c>
      <c r="N143" s="39">
        <f t="shared" ref="N143:N166" si="25">+M143-O143</f>
        <v>83.711000000000013</v>
      </c>
      <c r="O143" s="37">
        <v>236.80500000000001</v>
      </c>
      <c r="P143" s="40">
        <v>10</v>
      </c>
      <c r="Q143" s="40">
        <v>15</v>
      </c>
      <c r="R143" s="41">
        <f t="shared" ref="R143:R166" si="26">SUM(P143:Q143)</f>
        <v>25</v>
      </c>
      <c r="S143" s="42">
        <v>1891</v>
      </c>
    </row>
    <row r="144" spans="2:19" ht="15.75" x14ac:dyDescent="0.25">
      <c r="B144" s="34">
        <f>+B143+1</f>
        <v>2</v>
      </c>
      <c r="C144" s="34" t="s">
        <v>235</v>
      </c>
      <c r="D144" s="35" t="s">
        <v>236</v>
      </c>
      <c r="E144" s="36">
        <v>42735</v>
      </c>
      <c r="F144" s="37">
        <v>3500</v>
      </c>
      <c r="G144" s="38">
        <v>10</v>
      </c>
      <c r="H144" s="39">
        <f t="shared" si="24"/>
        <v>350</v>
      </c>
      <c r="I144" s="37">
        <v>17000.602999999999</v>
      </c>
      <c r="J144" s="37">
        <v>38579.911</v>
      </c>
      <c r="K144" s="37">
        <v>13301.784</v>
      </c>
      <c r="L144" s="37">
        <v>0</v>
      </c>
      <c r="M144" s="37">
        <v>4053.636</v>
      </c>
      <c r="N144" s="39">
        <f t="shared" si="25"/>
        <v>560.69200000000001</v>
      </c>
      <c r="O144" s="37">
        <v>3492.944</v>
      </c>
      <c r="P144" s="40">
        <f>15+25</f>
        <v>40</v>
      </c>
      <c r="Q144" s="40">
        <v>0</v>
      </c>
      <c r="R144" s="41">
        <f t="shared" si="26"/>
        <v>40</v>
      </c>
      <c r="S144" s="42">
        <v>5271</v>
      </c>
    </row>
    <row r="145" spans="2:19" ht="15.75" x14ac:dyDescent="0.25">
      <c r="B145" s="34">
        <f t="shared" ref="B145:B166" si="27">+B144+1</f>
        <v>3</v>
      </c>
      <c r="C145" s="34" t="s">
        <v>237</v>
      </c>
      <c r="D145" s="35" t="s">
        <v>238</v>
      </c>
      <c r="E145" s="36">
        <v>42735</v>
      </c>
      <c r="F145" s="37">
        <v>450</v>
      </c>
      <c r="G145" s="38">
        <v>10</v>
      </c>
      <c r="H145" s="39">
        <f t="shared" si="24"/>
        <v>45</v>
      </c>
      <c r="I145" s="37">
        <v>559.24012700000003</v>
      </c>
      <c r="J145" s="37">
        <v>1054.6517409999999</v>
      </c>
      <c r="K145" s="37">
        <v>478.773977</v>
      </c>
      <c r="L145" s="37">
        <v>0</v>
      </c>
      <c r="M145" s="37">
        <v>73.955106000000001</v>
      </c>
      <c r="N145" s="39">
        <f t="shared" si="25"/>
        <v>2.8565849999999955</v>
      </c>
      <c r="O145" s="37">
        <v>71.098521000000005</v>
      </c>
      <c r="P145" s="40">
        <v>0</v>
      </c>
      <c r="Q145" s="40">
        <v>25</v>
      </c>
      <c r="R145" s="41">
        <f t="shared" si="26"/>
        <v>25</v>
      </c>
      <c r="S145" s="42">
        <v>56</v>
      </c>
    </row>
    <row r="146" spans="2:19" ht="15.75" x14ac:dyDescent="0.25">
      <c r="B146" s="34">
        <f t="shared" si="27"/>
        <v>4</v>
      </c>
      <c r="C146" s="34" t="s">
        <v>239</v>
      </c>
      <c r="D146" s="35" t="s">
        <v>240</v>
      </c>
      <c r="E146" s="36">
        <v>42735</v>
      </c>
      <c r="F146" s="37">
        <v>701.61400000000003</v>
      </c>
      <c r="G146" s="38">
        <v>10</v>
      </c>
      <c r="H146" s="39">
        <f t="shared" si="24"/>
        <v>70.1614</v>
      </c>
      <c r="I146" s="37">
        <v>2046.538</v>
      </c>
      <c r="J146" s="37">
        <v>4277.6030000000001</v>
      </c>
      <c r="K146" s="37">
        <v>1526.692</v>
      </c>
      <c r="L146" s="37">
        <v>0</v>
      </c>
      <c r="M146" s="37">
        <v>916.846</v>
      </c>
      <c r="N146" s="39">
        <f t="shared" si="25"/>
        <v>298.67200000000003</v>
      </c>
      <c r="O146" s="37">
        <v>618.17399999999998</v>
      </c>
      <c r="P146" s="40">
        <v>65</v>
      </c>
      <c r="Q146" s="40">
        <v>0</v>
      </c>
      <c r="R146" s="41">
        <f t="shared" si="26"/>
        <v>65</v>
      </c>
      <c r="S146" s="42">
        <v>1138</v>
      </c>
    </row>
    <row r="147" spans="2:19" ht="15.75" x14ac:dyDescent="0.25">
      <c r="B147" s="34">
        <f t="shared" si="27"/>
        <v>5</v>
      </c>
      <c r="C147" s="34" t="s">
        <v>241</v>
      </c>
      <c r="D147" s="35" t="s">
        <v>242</v>
      </c>
      <c r="E147" s="36">
        <v>42735</v>
      </c>
      <c r="F147" s="37">
        <v>457.24365999999998</v>
      </c>
      <c r="G147" s="38">
        <v>10</v>
      </c>
      <c r="H147" s="39">
        <f t="shared" si="24"/>
        <v>45.724365999999996</v>
      </c>
      <c r="I147" s="37">
        <v>1709.316347</v>
      </c>
      <c r="J147" s="37">
        <v>2660.6831950000001</v>
      </c>
      <c r="K147" s="37">
        <v>893.31998299999998</v>
      </c>
      <c r="L147" s="37">
        <v>0</v>
      </c>
      <c r="M147" s="37">
        <v>264.662622</v>
      </c>
      <c r="N147" s="39">
        <f t="shared" si="25"/>
        <v>78.795458999999994</v>
      </c>
      <c r="O147" s="37">
        <v>185.86716300000001</v>
      </c>
      <c r="P147" s="40">
        <v>17.5</v>
      </c>
      <c r="Q147" s="40">
        <v>10</v>
      </c>
      <c r="R147" s="41">
        <f t="shared" si="26"/>
        <v>27.5</v>
      </c>
      <c r="S147" s="42">
        <v>1377</v>
      </c>
    </row>
    <row r="148" spans="2:19" ht="15.75" x14ac:dyDescent="0.25">
      <c r="B148" s="34">
        <f t="shared" si="27"/>
        <v>6</v>
      </c>
      <c r="C148" s="34" t="s">
        <v>243</v>
      </c>
      <c r="D148" s="35" t="s">
        <v>244</v>
      </c>
      <c r="E148" s="36">
        <v>42735</v>
      </c>
      <c r="F148" s="37">
        <v>826.83333000000005</v>
      </c>
      <c r="G148" s="38">
        <v>10</v>
      </c>
      <c r="H148" s="39">
        <f t="shared" si="24"/>
        <v>82.683333000000005</v>
      </c>
      <c r="I148" s="37">
        <v>664.34100000000001</v>
      </c>
      <c r="J148" s="37">
        <v>1009.122729</v>
      </c>
      <c r="K148" s="37">
        <v>246.366804</v>
      </c>
      <c r="L148" s="37">
        <v>0</v>
      </c>
      <c r="M148" s="37">
        <v>25.621935000000001</v>
      </c>
      <c r="N148" s="39">
        <f t="shared" si="25"/>
        <v>2.0647260000000003</v>
      </c>
      <c r="O148" s="37">
        <v>23.557209</v>
      </c>
      <c r="P148" s="40">
        <v>0</v>
      </c>
      <c r="Q148" s="40">
        <v>0</v>
      </c>
      <c r="R148" s="41">
        <f t="shared" si="26"/>
        <v>0</v>
      </c>
      <c r="S148" s="42">
        <v>1701</v>
      </c>
    </row>
    <row r="149" spans="2:19" ht="15.75" x14ac:dyDescent="0.25">
      <c r="B149" s="34">
        <f t="shared" si="27"/>
        <v>7</v>
      </c>
      <c r="C149" s="34" t="s">
        <v>245</v>
      </c>
      <c r="D149" s="35" t="s">
        <v>246</v>
      </c>
      <c r="E149" s="36">
        <v>42735</v>
      </c>
      <c r="F149" s="37">
        <v>2000</v>
      </c>
      <c r="G149" s="38">
        <v>10</v>
      </c>
      <c r="H149" s="39">
        <f t="shared" si="24"/>
        <v>200</v>
      </c>
      <c r="I149" s="37">
        <v>16901.071</v>
      </c>
      <c r="J149" s="37">
        <v>36204.203000000001</v>
      </c>
      <c r="K149" s="37">
        <v>9279.6389999999992</v>
      </c>
      <c r="L149" s="37">
        <v>0</v>
      </c>
      <c r="M149" s="37">
        <v>3781.2840000000001</v>
      </c>
      <c r="N149" s="39">
        <f t="shared" si="25"/>
        <v>1388.8420000000001</v>
      </c>
      <c r="O149" s="37">
        <v>2392.442</v>
      </c>
      <c r="P149" s="40">
        <f>10+10+10+70</f>
        <v>100</v>
      </c>
      <c r="Q149" s="40">
        <v>0</v>
      </c>
      <c r="R149" s="41">
        <f t="shared" si="26"/>
        <v>100</v>
      </c>
      <c r="S149" s="42">
        <v>1755</v>
      </c>
    </row>
    <row r="150" spans="2:19" ht="15.75" x14ac:dyDescent="0.25">
      <c r="B150" s="34">
        <f t="shared" si="27"/>
        <v>8</v>
      </c>
      <c r="C150" s="55" t="s">
        <v>247</v>
      </c>
      <c r="D150" s="35" t="s">
        <v>248</v>
      </c>
      <c r="E150" s="36">
        <v>42735</v>
      </c>
      <c r="F150" s="37">
        <v>1000</v>
      </c>
      <c r="G150" s="38">
        <v>10</v>
      </c>
      <c r="H150" s="39">
        <f t="shared" si="24"/>
        <v>100</v>
      </c>
      <c r="I150" s="37">
        <v>4193.3829999999998</v>
      </c>
      <c r="J150" s="37">
        <v>106301.531</v>
      </c>
      <c r="K150" s="37">
        <v>438.56299999999999</v>
      </c>
      <c r="L150" s="37">
        <v>0</v>
      </c>
      <c r="M150" s="37">
        <v>2798.096</v>
      </c>
      <c r="N150" s="39">
        <f t="shared" si="25"/>
        <v>925.2</v>
      </c>
      <c r="O150" s="37">
        <v>1872.896</v>
      </c>
      <c r="P150" s="40">
        <f>10+10+10+120</f>
        <v>150</v>
      </c>
      <c r="Q150" s="40">
        <v>0</v>
      </c>
      <c r="R150" s="41">
        <f t="shared" si="26"/>
        <v>150</v>
      </c>
      <c r="S150" s="42">
        <v>1168</v>
      </c>
    </row>
    <row r="151" spans="2:19" ht="15.75" x14ac:dyDescent="0.25">
      <c r="B151" s="34">
        <f t="shared" si="27"/>
        <v>9</v>
      </c>
      <c r="C151" s="34" t="s">
        <v>249</v>
      </c>
      <c r="D151" s="35" t="s">
        <v>250</v>
      </c>
      <c r="E151" s="36">
        <v>42735</v>
      </c>
      <c r="F151" s="37">
        <v>508.15100000000001</v>
      </c>
      <c r="G151" s="38">
        <v>10</v>
      </c>
      <c r="H151" s="39">
        <f t="shared" si="24"/>
        <v>50.815100000000001</v>
      </c>
      <c r="I151" s="37">
        <v>981.7</v>
      </c>
      <c r="J151" s="37">
        <v>2335.7849999999999</v>
      </c>
      <c r="K151" s="37">
        <v>1183.779</v>
      </c>
      <c r="L151" s="37">
        <v>0</v>
      </c>
      <c r="M151" s="37">
        <v>297.01299999999998</v>
      </c>
      <c r="N151" s="39">
        <f t="shared" si="25"/>
        <v>14.865999999999985</v>
      </c>
      <c r="O151" s="37">
        <v>282.14699999999999</v>
      </c>
      <c r="P151" s="40">
        <v>12.5</v>
      </c>
      <c r="Q151" s="40">
        <v>12.5</v>
      </c>
      <c r="R151" s="41">
        <f t="shared" si="26"/>
        <v>25</v>
      </c>
      <c r="S151" s="42">
        <v>257</v>
      </c>
    </row>
    <row r="152" spans="2:19" ht="15.75" x14ac:dyDescent="0.25">
      <c r="B152" s="34">
        <f t="shared" si="27"/>
        <v>10</v>
      </c>
      <c r="C152" s="55" t="s">
        <v>251</v>
      </c>
      <c r="D152" s="35" t="s">
        <v>252</v>
      </c>
      <c r="E152" s="36">
        <v>42735</v>
      </c>
      <c r="F152" s="37">
        <v>601.72014000000001</v>
      </c>
      <c r="G152" s="38">
        <v>10</v>
      </c>
      <c r="H152" s="39">
        <f t="shared" si="24"/>
        <v>60.172014000000004</v>
      </c>
      <c r="I152" s="37">
        <v>189.84105500000001</v>
      </c>
      <c r="J152" s="37">
        <v>476.27186</v>
      </c>
      <c r="K152" s="37">
        <v>16.814529</v>
      </c>
      <c r="L152" s="37">
        <v>0</v>
      </c>
      <c r="M152" s="37">
        <v>-4.7507260000000002</v>
      </c>
      <c r="N152" s="39">
        <f t="shared" si="25"/>
        <v>0.16600599999999943</v>
      </c>
      <c r="O152" s="37">
        <v>-4.9167319999999997</v>
      </c>
      <c r="P152" s="40">
        <v>0</v>
      </c>
      <c r="Q152" s="40">
        <v>0</v>
      </c>
      <c r="R152" s="41">
        <f t="shared" si="26"/>
        <v>0</v>
      </c>
      <c r="S152" s="42">
        <v>435</v>
      </c>
    </row>
    <row r="153" spans="2:19" ht="15.75" x14ac:dyDescent="0.25">
      <c r="B153" s="34">
        <f t="shared" si="27"/>
        <v>11</v>
      </c>
      <c r="C153" s="34" t="s">
        <v>253</v>
      </c>
      <c r="D153" s="35" t="s">
        <v>254</v>
      </c>
      <c r="E153" s="36">
        <v>42735</v>
      </c>
      <c r="F153" s="37">
        <v>619.37400000000002</v>
      </c>
      <c r="G153" s="38">
        <v>5</v>
      </c>
      <c r="H153" s="39">
        <f t="shared" si="24"/>
        <v>123.87480000000001</v>
      </c>
      <c r="I153" s="37">
        <v>1099.6479999999999</v>
      </c>
      <c r="J153" s="37">
        <v>2759.8780000000002</v>
      </c>
      <c r="K153" s="37">
        <v>824.43600000000004</v>
      </c>
      <c r="L153" s="37">
        <v>0</v>
      </c>
      <c r="M153" s="37">
        <v>285.11</v>
      </c>
      <c r="N153" s="39">
        <f t="shared" si="25"/>
        <v>93.402000000000015</v>
      </c>
      <c r="O153" s="37">
        <v>191.708</v>
      </c>
      <c r="P153" s="40">
        <v>35</v>
      </c>
      <c r="Q153" s="40">
        <v>0</v>
      </c>
      <c r="R153" s="41">
        <f t="shared" si="26"/>
        <v>35</v>
      </c>
      <c r="S153" s="42">
        <v>2907</v>
      </c>
    </row>
    <row r="154" spans="2:19" ht="15.75" x14ac:dyDescent="0.25">
      <c r="B154" s="34">
        <f t="shared" si="27"/>
        <v>12</v>
      </c>
      <c r="C154" s="34" t="s">
        <v>255</v>
      </c>
      <c r="D154" s="35" t="s">
        <v>256</v>
      </c>
      <c r="E154" s="36">
        <v>42735</v>
      </c>
      <c r="F154" s="37">
        <v>1226.895</v>
      </c>
      <c r="G154" s="38">
        <v>10</v>
      </c>
      <c r="H154" s="39">
        <f t="shared" si="24"/>
        <v>122.6895</v>
      </c>
      <c r="I154" s="37">
        <v>13612.550999999999</v>
      </c>
      <c r="J154" s="37">
        <v>19449.039000000001</v>
      </c>
      <c r="K154" s="37">
        <v>3545.297</v>
      </c>
      <c r="L154" s="37">
        <v>0</v>
      </c>
      <c r="M154" s="37">
        <v>2067.1260000000002</v>
      </c>
      <c r="N154" s="39">
        <f t="shared" si="25"/>
        <v>633.2510000000002</v>
      </c>
      <c r="O154" s="37">
        <v>1433.875</v>
      </c>
      <c r="P154" s="40">
        <v>80</v>
      </c>
      <c r="Q154" s="40">
        <v>0</v>
      </c>
      <c r="R154" s="41">
        <f t="shared" si="26"/>
        <v>80</v>
      </c>
      <c r="S154" s="42">
        <v>1698</v>
      </c>
    </row>
    <row r="155" spans="2:19" ht="15.75" x14ac:dyDescent="0.25">
      <c r="B155" s="34">
        <f t="shared" si="27"/>
        <v>13</v>
      </c>
      <c r="C155" s="34" t="s">
        <v>257</v>
      </c>
      <c r="D155" s="35" t="s">
        <v>258</v>
      </c>
      <c r="E155" s="36">
        <v>42735</v>
      </c>
      <c r="F155" s="37">
        <v>605</v>
      </c>
      <c r="G155" s="38">
        <v>10</v>
      </c>
      <c r="H155" s="39">
        <f t="shared" si="24"/>
        <v>60.5</v>
      </c>
      <c r="I155" s="37">
        <v>858.79100000000005</v>
      </c>
      <c r="J155" s="37">
        <v>19232.731</v>
      </c>
      <c r="K155" s="37">
        <v>106.863</v>
      </c>
      <c r="L155" s="37">
        <v>0</v>
      </c>
      <c r="M155" s="37">
        <v>135.53899999999999</v>
      </c>
      <c r="N155" s="39">
        <f t="shared" si="25"/>
        <v>40.648999999999987</v>
      </c>
      <c r="O155" s="37">
        <v>94.89</v>
      </c>
      <c r="P155" s="40">
        <v>15</v>
      </c>
      <c r="Q155" s="40">
        <f>10+10</f>
        <v>20</v>
      </c>
      <c r="R155" s="41">
        <f t="shared" si="26"/>
        <v>35</v>
      </c>
      <c r="S155" s="42">
        <v>1012</v>
      </c>
    </row>
    <row r="156" spans="2:19" ht="15.75" x14ac:dyDescent="0.25">
      <c r="B156" s="34">
        <f t="shared" si="27"/>
        <v>14</v>
      </c>
      <c r="C156" s="34" t="s">
        <v>259</v>
      </c>
      <c r="D156" s="35" t="s">
        <v>260</v>
      </c>
      <c r="E156" s="36">
        <v>42735</v>
      </c>
      <c r="F156" s="37">
        <v>1569.1</v>
      </c>
      <c r="G156" s="38">
        <v>10</v>
      </c>
      <c r="H156" s="39">
        <f t="shared" si="24"/>
        <v>156.91</v>
      </c>
      <c r="I156" s="37">
        <v>6599.857</v>
      </c>
      <c r="J156" s="37">
        <v>17411.166000000001</v>
      </c>
      <c r="K156" s="37">
        <v>5611.951</v>
      </c>
      <c r="L156" s="37">
        <v>0</v>
      </c>
      <c r="M156" s="37">
        <v>1854.125</v>
      </c>
      <c r="N156" s="39">
        <f t="shared" si="25"/>
        <v>674.69399999999996</v>
      </c>
      <c r="O156" s="37">
        <v>1179.431</v>
      </c>
      <c r="P156" s="40">
        <f>35</f>
        <v>35</v>
      </c>
      <c r="Q156" s="40">
        <f>15</f>
        <v>15</v>
      </c>
      <c r="R156" s="41">
        <f t="shared" si="26"/>
        <v>50</v>
      </c>
      <c r="S156" s="42">
        <v>1409</v>
      </c>
    </row>
    <row r="157" spans="2:19" ht="15.75" x14ac:dyDescent="0.25">
      <c r="B157" s="34">
        <f t="shared" si="27"/>
        <v>15</v>
      </c>
      <c r="C157" s="55" t="s">
        <v>261</v>
      </c>
      <c r="D157" s="35" t="s">
        <v>262</v>
      </c>
      <c r="E157" s="36">
        <v>42735</v>
      </c>
      <c r="F157" s="37">
        <v>721.18799999999999</v>
      </c>
      <c r="G157" s="38">
        <v>10</v>
      </c>
      <c r="H157" s="39">
        <f t="shared" si="24"/>
        <v>72.118799999999993</v>
      </c>
      <c r="I157" s="37">
        <v>5069.5320000000002</v>
      </c>
      <c r="J157" s="37">
        <v>102040.961</v>
      </c>
      <c r="K157" s="37">
        <v>478.95400000000001</v>
      </c>
      <c r="L157" s="37">
        <v>0</v>
      </c>
      <c r="M157" s="37">
        <v>3151.6039999999998</v>
      </c>
      <c r="N157" s="39">
        <f t="shared" si="25"/>
        <v>1043.7059999999997</v>
      </c>
      <c r="O157" s="37">
        <v>2107.8980000000001</v>
      </c>
      <c r="P157" s="40">
        <f>30+115</f>
        <v>145</v>
      </c>
      <c r="Q157" s="40">
        <v>10</v>
      </c>
      <c r="R157" s="41">
        <f t="shared" si="26"/>
        <v>155</v>
      </c>
      <c r="S157" s="42">
        <v>1274</v>
      </c>
    </row>
    <row r="158" spans="2:19" ht="15.75" x14ac:dyDescent="0.25">
      <c r="B158" s="34">
        <f t="shared" si="27"/>
        <v>16</v>
      </c>
      <c r="C158" s="34" t="s">
        <v>263</v>
      </c>
      <c r="D158" s="35" t="s">
        <v>264</v>
      </c>
      <c r="E158" s="36">
        <v>42735</v>
      </c>
      <c r="F158" s="37">
        <v>3000</v>
      </c>
      <c r="G158" s="38">
        <v>10</v>
      </c>
      <c r="H158" s="39">
        <f t="shared" si="24"/>
        <v>300</v>
      </c>
      <c r="I158" s="37">
        <v>7403.4605840000004</v>
      </c>
      <c r="J158" s="37">
        <v>19907.365763000002</v>
      </c>
      <c r="K158" s="37">
        <v>6905.1850770000001</v>
      </c>
      <c r="L158" s="37">
        <v>0</v>
      </c>
      <c r="M158" s="37">
        <v>1426.947799</v>
      </c>
      <c r="N158" s="39">
        <f t="shared" si="25"/>
        <v>452.68460100000004</v>
      </c>
      <c r="O158" s="37">
        <v>974.26319799999999</v>
      </c>
      <c r="P158" s="40">
        <v>30</v>
      </c>
      <c r="Q158" s="40">
        <v>0</v>
      </c>
      <c r="R158" s="41">
        <f t="shared" si="26"/>
        <v>30</v>
      </c>
      <c r="S158" s="42">
        <v>2994</v>
      </c>
    </row>
    <row r="159" spans="2:19" ht="15.75" x14ac:dyDescent="0.25">
      <c r="B159" s="34">
        <f t="shared" si="27"/>
        <v>17</v>
      </c>
      <c r="C159" s="34" t="s">
        <v>265</v>
      </c>
      <c r="D159" s="35" t="s">
        <v>266</v>
      </c>
      <c r="E159" s="36">
        <v>42735</v>
      </c>
      <c r="F159" s="37">
        <v>350</v>
      </c>
      <c r="G159" s="38">
        <v>10</v>
      </c>
      <c r="H159" s="39">
        <f t="shared" si="24"/>
        <v>35</v>
      </c>
      <c r="I159" s="37">
        <v>38.210999999999999</v>
      </c>
      <c r="J159" s="37">
        <v>335.90199999999999</v>
      </c>
      <c r="K159" s="37">
        <v>77.997</v>
      </c>
      <c r="L159" s="37">
        <v>0</v>
      </c>
      <c r="M159" s="37">
        <v>-24.367000000000001</v>
      </c>
      <c r="N159" s="39">
        <f t="shared" si="25"/>
        <v>0.51399999999999935</v>
      </c>
      <c r="O159" s="37">
        <v>-24.881</v>
      </c>
      <c r="P159" s="40">
        <v>0</v>
      </c>
      <c r="Q159" s="40">
        <v>0</v>
      </c>
      <c r="R159" s="41">
        <f t="shared" si="26"/>
        <v>0</v>
      </c>
      <c r="S159" s="42">
        <v>3491</v>
      </c>
    </row>
    <row r="160" spans="2:19" ht="15.75" x14ac:dyDescent="0.25">
      <c r="B160" s="34">
        <f t="shared" si="27"/>
        <v>18</v>
      </c>
      <c r="C160" s="34" t="s">
        <v>267</v>
      </c>
      <c r="D160" s="35" t="s">
        <v>268</v>
      </c>
      <c r="E160" s="36">
        <v>42735</v>
      </c>
      <c r="F160" s="37">
        <v>417.89299999999997</v>
      </c>
      <c r="G160" s="38">
        <v>10</v>
      </c>
      <c r="H160" s="39">
        <f t="shared" si="24"/>
        <v>41.789299999999997</v>
      </c>
      <c r="I160" s="37">
        <v>1242.0740000000001</v>
      </c>
      <c r="J160" s="37">
        <v>3745.154</v>
      </c>
      <c r="K160" s="37">
        <v>897.32500000000005</v>
      </c>
      <c r="L160" s="37">
        <v>0</v>
      </c>
      <c r="M160" s="37">
        <v>-325.13400000000001</v>
      </c>
      <c r="N160" s="39">
        <f t="shared" si="25"/>
        <v>5.5749999999999886</v>
      </c>
      <c r="O160" s="37">
        <v>-330.709</v>
      </c>
      <c r="P160" s="40">
        <v>0</v>
      </c>
      <c r="Q160" s="40">
        <v>10</v>
      </c>
      <c r="R160" s="41">
        <f t="shared" si="26"/>
        <v>10</v>
      </c>
      <c r="S160" s="42">
        <v>2127</v>
      </c>
    </row>
    <row r="161" spans="2:19" ht="15.75" x14ac:dyDescent="0.25">
      <c r="B161" s="34">
        <f t="shared" si="27"/>
        <v>19</v>
      </c>
      <c r="C161" s="34" t="s">
        <v>269</v>
      </c>
      <c r="D161" s="35" t="s">
        <v>270</v>
      </c>
      <c r="E161" s="36">
        <v>42735</v>
      </c>
      <c r="F161" s="37">
        <v>400.01249999999999</v>
      </c>
      <c r="G161" s="38">
        <v>10</v>
      </c>
      <c r="H161" s="39">
        <f t="shared" si="24"/>
        <v>40.001249999999999</v>
      </c>
      <c r="I161" s="37">
        <v>641.97190999999998</v>
      </c>
      <c r="J161" s="37">
        <v>949.28352299999995</v>
      </c>
      <c r="K161" s="37">
        <v>277.664603</v>
      </c>
      <c r="L161" s="37">
        <v>0</v>
      </c>
      <c r="M161" s="37">
        <v>43.912864999999996</v>
      </c>
      <c r="N161" s="39">
        <f t="shared" si="25"/>
        <v>10.981351999999994</v>
      </c>
      <c r="O161" s="37">
        <v>32.931513000000002</v>
      </c>
      <c r="P161" s="40">
        <v>0</v>
      </c>
      <c r="Q161" s="40">
        <v>16</v>
      </c>
      <c r="R161" s="41">
        <f t="shared" si="26"/>
        <v>16</v>
      </c>
      <c r="S161" s="42">
        <v>1134</v>
      </c>
    </row>
    <row r="162" spans="2:19" ht="15.75" x14ac:dyDescent="0.25">
      <c r="B162" s="34">
        <f t="shared" si="27"/>
        <v>20</v>
      </c>
      <c r="C162" s="34" t="s">
        <v>271</v>
      </c>
      <c r="D162" s="35" t="s">
        <v>272</v>
      </c>
      <c r="E162" s="36">
        <v>42735</v>
      </c>
      <c r="F162" s="37">
        <v>510.37531999999999</v>
      </c>
      <c r="G162" s="38">
        <v>10</v>
      </c>
      <c r="H162" s="39">
        <f t="shared" si="24"/>
        <v>51.037531999999999</v>
      </c>
      <c r="I162" s="37">
        <v>863.52567999999997</v>
      </c>
      <c r="J162" s="37">
        <v>1811.4778100000001</v>
      </c>
      <c r="K162" s="37">
        <v>459.375607</v>
      </c>
      <c r="L162" s="37">
        <v>4.7389000000000001E-2</v>
      </c>
      <c r="M162" s="37">
        <v>115.539861</v>
      </c>
      <c r="N162" s="39">
        <f t="shared" si="25"/>
        <v>14.850000000000009</v>
      </c>
      <c r="O162" s="37">
        <v>100.68986099999999</v>
      </c>
      <c r="P162" s="40">
        <v>5</v>
      </c>
      <c r="Q162" s="40">
        <v>10</v>
      </c>
      <c r="R162" s="41">
        <f t="shared" si="26"/>
        <v>15</v>
      </c>
      <c r="S162" s="42">
        <v>1482</v>
      </c>
    </row>
    <row r="163" spans="2:19" ht="15.75" x14ac:dyDescent="0.25">
      <c r="B163" s="34">
        <f t="shared" si="27"/>
        <v>21</v>
      </c>
      <c r="C163" s="34" t="s">
        <v>273</v>
      </c>
      <c r="D163" s="35" t="s">
        <v>274</v>
      </c>
      <c r="E163" s="36">
        <v>42735</v>
      </c>
      <c r="F163" s="37">
        <v>450</v>
      </c>
      <c r="G163" s="38">
        <v>10</v>
      </c>
      <c r="H163" s="39">
        <f t="shared" si="24"/>
        <v>45</v>
      </c>
      <c r="I163" s="37">
        <v>406.40394199999997</v>
      </c>
      <c r="J163" s="37">
        <v>770.63478099999998</v>
      </c>
      <c r="K163" s="37">
        <v>305.86177400000003</v>
      </c>
      <c r="L163" s="37">
        <v>0</v>
      </c>
      <c r="M163" s="37">
        <v>42.781435999999999</v>
      </c>
      <c r="N163" s="39">
        <f t="shared" si="25"/>
        <v>2.645583000000002</v>
      </c>
      <c r="O163" s="37">
        <v>40.135852999999997</v>
      </c>
      <c r="P163" s="40">
        <v>0</v>
      </c>
      <c r="Q163" s="40">
        <v>0</v>
      </c>
      <c r="R163" s="41">
        <f t="shared" si="26"/>
        <v>0</v>
      </c>
      <c r="S163" s="42">
        <v>717</v>
      </c>
    </row>
    <row r="164" spans="2:19" ht="15.75" x14ac:dyDescent="0.25">
      <c r="B164" s="34">
        <f t="shared" si="27"/>
        <v>22</v>
      </c>
      <c r="C164" s="34" t="s">
        <v>275</v>
      </c>
      <c r="D164" s="35" t="s">
        <v>276</v>
      </c>
      <c r="E164" s="36">
        <v>42735</v>
      </c>
      <c r="F164" s="37">
        <v>755.15899000000002</v>
      </c>
      <c r="G164" s="38">
        <v>10</v>
      </c>
      <c r="H164" s="39">
        <f t="shared" si="24"/>
        <v>75.515899000000005</v>
      </c>
      <c r="I164" s="37">
        <v>1042.726275</v>
      </c>
      <c r="J164" s="37">
        <v>2277.9707440000002</v>
      </c>
      <c r="K164" s="37">
        <v>1378.5937469999999</v>
      </c>
      <c r="L164" s="37">
        <v>0</v>
      </c>
      <c r="M164" s="37">
        <v>148.83318199999999</v>
      </c>
      <c r="N164" s="39">
        <f t="shared" si="25"/>
        <v>45.664467999999999</v>
      </c>
      <c r="O164" s="37">
        <v>103.16871399999999</v>
      </c>
      <c r="P164" s="40">
        <v>0</v>
      </c>
      <c r="Q164" s="40">
        <v>0</v>
      </c>
      <c r="R164" s="41">
        <f t="shared" si="26"/>
        <v>0</v>
      </c>
      <c r="S164" s="42">
        <v>520</v>
      </c>
    </row>
    <row r="165" spans="2:19" ht="15.75" x14ac:dyDescent="0.25">
      <c r="B165" s="34">
        <f t="shared" si="27"/>
        <v>23</v>
      </c>
      <c r="C165" s="34" t="s">
        <v>277</v>
      </c>
      <c r="D165" s="35" t="s">
        <v>278</v>
      </c>
      <c r="E165" s="36">
        <v>42735</v>
      </c>
      <c r="F165" s="37">
        <v>1803.2</v>
      </c>
      <c r="G165" s="38">
        <v>10</v>
      </c>
      <c r="H165" s="39">
        <f t="shared" si="24"/>
        <v>180.32</v>
      </c>
      <c r="I165" s="37">
        <v>2555.392523</v>
      </c>
      <c r="J165" s="37">
        <v>5466.579823</v>
      </c>
      <c r="K165" s="37">
        <v>2633.159056</v>
      </c>
      <c r="L165" s="37">
        <v>0</v>
      </c>
      <c r="M165" s="37">
        <v>362.84844299999997</v>
      </c>
      <c r="N165" s="39">
        <f t="shared" si="25"/>
        <v>79.512518</v>
      </c>
      <c r="O165" s="37">
        <v>283.33592499999997</v>
      </c>
      <c r="P165" s="40">
        <v>10</v>
      </c>
      <c r="Q165" s="40">
        <v>11</v>
      </c>
      <c r="R165" s="41">
        <f t="shared" si="26"/>
        <v>21</v>
      </c>
      <c r="S165" s="42">
        <v>1418</v>
      </c>
    </row>
    <row r="166" spans="2:19" ht="15.75" x14ac:dyDescent="0.25">
      <c r="B166" s="34">
        <f t="shared" si="27"/>
        <v>24</v>
      </c>
      <c r="C166" s="34" t="s">
        <v>279</v>
      </c>
      <c r="D166" s="35" t="s">
        <v>280</v>
      </c>
      <c r="E166" s="36">
        <v>42735</v>
      </c>
      <c r="F166" s="37">
        <v>416.18</v>
      </c>
      <c r="G166" s="38">
        <v>10</v>
      </c>
      <c r="H166" s="39">
        <f t="shared" si="24"/>
        <v>41.618000000000002</v>
      </c>
      <c r="I166" s="37">
        <v>381.98500000000001</v>
      </c>
      <c r="J166" s="37">
        <v>803.56600000000003</v>
      </c>
      <c r="K166" s="37">
        <v>76.555999999999997</v>
      </c>
      <c r="L166" s="37">
        <v>0.184</v>
      </c>
      <c r="M166" s="37">
        <v>71.245999999999995</v>
      </c>
      <c r="N166" s="39">
        <f t="shared" si="25"/>
        <v>2.0330000000000013</v>
      </c>
      <c r="O166" s="37">
        <v>69.212999999999994</v>
      </c>
      <c r="P166" s="40">
        <v>0</v>
      </c>
      <c r="Q166" s="40">
        <v>0</v>
      </c>
      <c r="R166" s="41">
        <f t="shared" si="26"/>
        <v>0</v>
      </c>
      <c r="S166" s="42">
        <v>916</v>
      </c>
    </row>
    <row r="167" spans="2:19" ht="15.75" x14ac:dyDescent="0.25">
      <c r="B167" s="29"/>
      <c r="C167" s="29"/>
      <c r="D167" s="29"/>
      <c r="E167" s="29"/>
      <c r="F167" s="29"/>
      <c r="G167" s="43"/>
      <c r="H167" s="44"/>
      <c r="I167" s="31"/>
      <c r="J167" s="31"/>
      <c r="K167" s="31"/>
      <c r="L167" s="31"/>
      <c r="M167" s="31"/>
      <c r="N167" s="45"/>
      <c r="O167" s="31"/>
      <c r="P167" s="31"/>
      <c r="Q167" s="31"/>
      <c r="R167" s="45"/>
      <c r="S167" s="31"/>
    </row>
    <row r="168" spans="2:19" ht="18.75" x14ac:dyDescent="0.3">
      <c r="B168" s="29"/>
      <c r="C168" s="29"/>
      <c r="D168" s="57" t="s">
        <v>45</v>
      </c>
      <c r="E168" s="29"/>
      <c r="F168" s="29"/>
      <c r="G168" s="43"/>
      <c r="H168" s="44"/>
      <c r="I168" s="31"/>
      <c r="J168" s="31"/>
      <c r="K168" s="31"/>
      <c r="L168" s="31"/>
      <c r="M168" s="31"/>
      <c r="N168" s="45"/>
      <c r="O168" s="31"/>
      <c r="P168" s="31"/>
      <c r="Q168" s="31"/>
      <c r="R168" s="45"/>
      <c r="S168" s="31"/>
    </row>
    <row r="169" spans="2:19" ht="15.75" x14ac:dyDescent="0.25">
      <c r="B169" s="34">
        <v>1</v>
      </c>
      <c r="C169" s="34" t="s">
        <v>281</v>
      </c>
      <c r="D169" s="35" t="s">
        <v>282</v>
      </c>
      <c r="E169" s="36">
        <v>42735</v>
      </c>
      <c r="F169" s="37"/>
      <c r="G169" s="38">
        <v>10</v>
      </c>
      <c r="H169" s="39">
        <f t="shared" ref="H169:H175" si="28">+F169/G169</f>
        <v>0</v>
      </c>
      <c r="I169" s="37"/>
      <c r="J169" s="37"/>
      <c r="K169" s="37"/>
      <c r="L169" s="37"/>
      <c r="M169" s="37"/>
      <c r="N169" s="39">
        <f t="shared" ref="N169:N175" si="29">+M169-O169</f>
        <v>0</v>
      </c>
      <c r="O169" s="37"/>
      <c r="P169" s="40"/>
      <c r="Q169" s="40"/>
      <c r="R169" s="41">
        <f t="shared" ref="R169:R175" si="30">SUM(P169:Q169)</f>
        <v>0</v>
      </c>
      <c r="S169" s="42"/>
    </row>
    <row r="170" spans="2:19" ht="15.75" x14ac:dyDescent="0.25">
      <c r="B170" s="34">
        <f t="shared" ref="B170:B175" si="31">+B169+1</f>
        <v>2</v>
      </c>
      <c r="C170" s="34" t="s">
        <v>283</v>
      </c>
      <c r="D170" s="35" t="s">
        <v>284</v>
      </c>
      <c r="E170" s="36">
        <v>42735</v>
      </c>
      <c r="F170" s="37"/>
      <c r="G170" s="38">
        <v>10</v>
      </c>
      <c r="H170" s="39">
        <f t="shared" si="28"/>
        <v>0</v>
      </c>
      <c r="I170" s="37"/>
      <c r="J170" s="37"/>
      <c r="K170" s="37"/>
      <c r="L170" s="37"/>
      <c r="M170" s="37"/>
      <c r="N170" s="39">
        <f t="shared" si="29"/>
        <v>0</v>
      </c>
      <c r="O170" s="37"/>
      <c r="P170" s="40"/>
      <c r="Q170" s="40"/>
      <c r="R170" s="41">
        <f t="shared" si="30"/>
        <v>0</v>
      </c>
      <c r="S170" s="42"/>
    </row>
    <row r="171" spans="2:19" ht="15.75" x14ac:dyDescent="0.25">
      <c r="B171" s="34">
        <f t="shared" si="31"/>
        <v>3</v>
      </c>
      <c r="C171" s="34" t="s">
        <v>285</v>
      </c>
      <c r="D171" s="35" t="s">
        <v>286</v>
      </c>
      <c r="E171" s="36">
        <v>42735</v>
      </c>
      <c r="F171" s="37">
        <v>5</v>
      </c>
      <c r="G171" s="38">
        <v>10</v>
      </c>
      <c r="H171" s="39">
        <f t="shared" si="28"/>
        <v>0.5</v>
      </c>
      <c r="I171" s="37">
        <v>1.059304</v>
      </c>
      <c r="J171" s="37">
        <v>2.3181639999999999</v>
      </c>
      <c r="K171" s="37">
        <v>1.8982380000000001</v>
      </c>
      <c r="L171" s="37">
        <v>0</v>
      </c>
      <c r="M171" s="37">
        <v>0.63783299999999998</v>
      </c>
      <c r="N171" s="39">
        <f t="shared" si="29"/>
        <v>0</v>
      </c>
      <c r="O171" s="37">
        <v>0.63783299999999998</v>
      </c>
      <c r="P171" s="40">
        <v>0</v>
      </c>
      <c r="Q171" s="40">
        <v>0</v>
      </c>
      <c r="R171" s="41">
        <f t="shared" si="30"/>
        <v>0</v>
      </c>
      <c r="S171" s="42">
        <v>350</v>
      </c>
    </row>
    <row r="172" spans="2:19" ht="15.75" x14ac:dyDescent="0.25">
      <c r="B172" s="34">
        <f t="shared" si="31"/>
        <v>4</v>
      </c>
      <c r="C172" s="34" t="s">
        <v>287</v>
      </c>
      <c r="D172" s="35" t="s">
        <v>288</v>
      </c>
      <c r="E172" s="36">
        <v>42735</v>
      </c>
      <c r="F172" s="37"/>
      <c r="G172" s="38">
        <v>10</v>
      </c>
      <c r="H172" s="39">
        <f t="shared" si="28"/>
        <v>0</v>
      </c>
      <c r="I172" s="37"/>
      <c r="J172" s="37"/>
      <c r="K172" s="37"/>
      <c r="L172" s="37"/>
      <c r="M172" s="37"/>
      <c r="N172" s="39">
        <f t="shared" si="29"/>
        <v>0</v>
      </c>
      <c r="O172" s="37"/>
      <c r="P172" s="40"/>
      <c r="Q172" s="40"/>
      <c r="R172" s="41">
        <f t="shared" si="30"/>
        <v>0</v>
      </c>
      <c r="S172" s="42"/>
    </row>
    <row r="173" spans="2:19" ht="15.75" x14ac:dyDescent="0.25">
      <c r="B173" s="34">
        <f t="shared" si="31"/>
        <v>5</v>
      </c>
      <c r="C173" s="34" t="s">
        <v>289</v>
      </c>
      <c r="D173" s="35" t="s">
        <v>290</v>
      </c>
      <c r="E173" s="36">
        <v>42735</v>
      </c>
      <c r="F173" s="37">
        <v>85</v>
      </c>
      <c r="G173" s="38">
        <v>10</v>
      </c>
      <c r="H173" s="39">
        <f t="shared" si="28"/>
        <v>8.5</v>
      </c>
      <c r="I173" s="37">
        <v>116.61062699999999</v>
      </c>
      <c r="J173" s="37">
        <v>121.08775300000001</v>
      </c>
      <c r="K173" s="37">
        <v>0</v>
      </c>
      <c r="L173" s="37">
        <v>0</v>
      </c>
      <c r="M173" s="37">
        <v>-0.157969</v>
      </c>
      <c r="N173" s="39">
        <f t="shared" si="29"/>
        <v>0</v>
      </c>
      <c r="O173" s="37">
        <v>-0.157969</v>
      </c>
      <c r="P173" s="40">
        <v>0</v>
      </c>
      <c r="Q173" s="40">
        <v>0</v>
      </c>
      <c r="R173" s="41">
        <f t="shared" si="30"/>
        <v>0</v>
      </c>
      <c r="S173" s="42">
        <v>910</v>
      </c>
    </row>
    <row r="174" spans="2:19" ht="15.75" x14ac:dyDescent="0.25">
      <c r="B174" s="34">
        <f t="shared" si="31"/>
        <v>6</v>
      </c>
      <c r="C174" s="34" t="s">
        <v>291</v>
      </c>
      <c r="D174" s="35" t="s">
        <v>292</v>
      </c>
      <c r="E174" s="36">
        <v>42735</v>
      </c>
      <c r="F174" s="37"/>
      <c r="G174" s="38">
        <v>10</v>
      </c>
      <c r="H174" s="39">
        <f>+F174/G174</f>
        <v>0</v>
      </c>
      <c r="I174" s="37"/>
      <c r="J174" s="37"/>
      <c r="K174" s="37"/>
      <c r="L174" s="37"/>
      <c r="M174" s="37"/>
      <c r="N174" s="39">
        <f>+M174-O174</f>
        <v>0</v>
      </c>
      <c r="O174" s="37"/>
      <c r="P174" s="40"/>
      <c r="Q174" s="40"/>
      <c r="R174" s="41">
        <f>SUM(P174:Q174)</f>
        <v>0</v>
      </c>
      <c r="S174" s="42"/>
    </row>
    <row r="175" spans="2:19" ht="15.75" x14ac:dyDescent="0.25">
      <c r="B175" s="34">
        <f t="shared" si="31"/>
        <v>7</v>
      </c>
      <c r="C175" s="34" t="s">
        <v>293</v>
      </c>
      <c r="D175" s="35" t="s">
        <v>294</v>
      </c>
      <c r="E175" s="36">
        <v>42735</v>
      </c>
      <c r="F175" s="37">
        <v>10</v>
      </c>
      <c r="G175" s="38">
        <v>10</v>
      </c>
      <c r="H175" s="39">
        <f t="shared" si="28"/>
        <v>1</v>
      </c>
      <c r="I175" s="37">
        <v>-19.198076</v>
      </c>
      <c r="J175" s="37">
        <v>28.986350999999999</v>
      </c>
      <c r="K175" s="37">
        <v>2.516079</v>
      </c>
      <c r="L175" s="37">
        <v>0</v>
      </c>
      <c r="M175" s="37">
        <v>0.206984</v>
      </c>
      <c r="N175" s="39">
        <f t="shared" si="29"/>
        <v>0</v>
      </c>
      <c r="O175" s="37">
        <v>0.206984</v>
      </c>
      <c r="P175" s="40">
        <v>0</v>
      </c>
      <c r="Q175" s="40">
        <v>0</v>
      </c>
      <c r="R175" s="41">
        <f t="shared" si="30"/>
        <v>0</v>
      </c>
      <c r="S175" s="42">
        <v>169</v>
      </c>
    </row>
    <row r="176" spans="2:19" ht="15.75" x14ac:dyDescent="0.25">
      <c r="B176" s="29"/>
      <c r="C176" s="29"/>
      <c r="D176" s="29"/>
      <c r="E176" s="29"/>
      <c r="F176" s="29"/>
      <c r="G176" s="43"/>
      <c r="H176" s="44"/>
      <c r="I176" s="31"/>
      <c r="J176" s="31"/>
      <c r="K176" s="31"/>
      <c r="L176" s="31"/>
      <c r="M176" s="31"/>
      <c r="N176" s="45"/>
      <c r="O176" s="31"/>
      <c r="P176" s="31"/>
      <c r="Q176" s="31"/>
      <c r="R176" s="45"/>
      <c r="S176" s="31"/>
    </row>
    <row r="177" spans="2:19" ht="15.75" x14ac:dyDescent="0.25">
      <c r="B177" s="34">
        <f>COUNT(B143:B176)</f>
        <v>31</v>
      </c>
      <c r="C177" s="34"/>
      <c r="D177" s="48"/>
      <c r="E177" s="48"/>
      <c r="F177" s="48">
        <f>SUM(F143:F176)</f>
        <v>23533.61994</v>
      </c>
      <c r="G177" s="49"/>
      <c r="H177" s="50">
        <f t="shared" ref="H177:O177" si="32">SUM(H143:H176)</f>
        <v>2415.2993940000001</v>
      </c>
      <c r="I177" s="48">
        <f t="shared" si="32"/>
        <v>87545.807297999985</v>
      </c>
      <c r="J177" s="48">
        <f t="shared" si="32"/>
        <v>393740.44223699998</v>
      </c>
      <c r="K177" s="48">
        <f t="shared" si="32"/>
        <v>52342.00347399999</v>
      </c>
      <c r="L177" s="48">
        <f t="shared" si="32"/>
        <v>0.23138900000000001</v>
      </c>
      <c r="M177" s="48">
        <f t="shared" si="32"/>
        <v>21883.679371000002</v>
      </c>
      <c r="N177" s="51">
        <f t="shared" si="32"/>
        <v>6456.0282980000002</v>
      </c>
      <c r="O177" s="48">
        <f t="shared" si="32"/>
        <v>15427.651073000003</v>
      </c>
      <c r="P177" s="52"/>
      <c r="Q177" s="52"/>
      <c r="R177" s="53"/>
      <c r="S177" s="54">
        <f>SUM(S143:S176)</f>
        <v>39577</v>
      </c>
    </row>
    <row r="178" spans="2:19" ht="15.75" x14ac:dyDescent="0.25">
      <c r="B178" s="29"/>
      <c r="C178" s="29"/>
      <c r="D178" s="29"/>
      <c r="E178" s="29"/>
      <c r="F178" s="29"/>
      <c r="G178" s="43"/>
      <c r="H178" s="44"/>
      <c r="I178" s="31"/>
      <c r="J178" s="31"/>
      <c r="K178" s="31"/>
      <c r="L178" s="31"/>
      <c r="M178" s="31"/>
      <c r="N178" s="45"/>
      <c r="O178" s="31"/>
      <c r="P178" s="31"/>
      <c r="Q178" s="31"/>
      <c r="R178" s="45"/>
      <c r="S178" s="31"/>
    </row>
    <row r="179" spans="2:19" ht="15.75" x14ac:dyDescent="0.25">
      <c r="B179" s="29"/>
      <c r="C179" s="29"/>
      <c r="D179" s="29"/>
      <c r="E179" s="29"/>
      <c r="F179" s="29"/>
      <c r="G179" s="43"/>
      <c r="H179" s="44"/>
      <c r="I179" s="31"/>
      <c r="J179" s="31"/>
      <c r="K179" s="31"/>
      <c r="L179" s="31"/>
      <c r="M179" s="31"/>
      <c r="N179" s="45"/>
      <c r="O179" s="31"/>
      <c r="P179" s="31"/>
      <c r="Q179" s="31"/>
      <c r="R179" s="45"/>
      <c r="S179" s="31"/>
    </row>
    <row r="180" spans="2:19" ht="18.75" x14ac:dyDescent="0.3">
      <c r="B180" s="29"/>
      <c r="C180" s="33">
        <v>7</v>
      </c>
      <c r="D180" s="33" t="s">
        <v>295</v>
      </c>
      <c r="E180" s="61"/>
      <c r="F180" s="61"/>
      <c r="G180" s="43"/>
      <c r="H180" s="44"/>
      <c r="I180" s="31"/>
      <c r="J180" s="31"/>
      <c r="K180" s="31"/>
      <c r="L180" s="31"/>
      <c r="M180" s="31"/>
      <c r="N180" s="45"/>
      <c r="O180" s="31"/>
      <c r="P180" s="31"/>
      <c r="Q180" s="31"/>
      <c r="R180" s="45"/>
      <c r="S180" s="31"/>
    </row>
    <row r="181" spans="2:19" ht="15.75" x14ac:dyDescent="0.25">
      <c r="B181" s="29"/>
      <c r="C181" s="29"/>
      <c r="D181" s="29"/>
      <c r="E181" s="29"/>
      <c r="F181" s="29"/>
      <c r="G181" s="43"/>
      <c r="H181" s="44"/>
      <c r="I181" s="31"/>
      <c r="J181" s="31"/>
      <c r="K181" s="31"/>
      <c r="L181" s="31"/>
      <c r="M181" s="31"/>
      <c r="N181" s="45"/>
      <c r="O181" s="31"/>
      <c r="P181" s="31"/>
      <c r="Q181" s="31"/>
      <c r="R181" s="45"/>
      <c r="S181" s="31"/>
    </row>
    <row r="182" spans="2:19" ht="15.75" x14ac:dyDescent="0.25">
      <c r="B182" s="55">
        <v>1</v>
      </c>
      <c r="C182" s="55" t="s">
        <v>296</v>
      </c>
      <c r="D182" s="35" t="s">
        <v>297</v>
      </c>
      <c r="E182" s="36">
        <v>42551</v>
      </c>
      <c r="F182" s="37">
        <v>22237</v>
      </c>
      <c r="G182" s="38">
        <v>10</v>
      </c>
      <c r="H182" s="39">
        <f>+F182/G182</f>
        <v>2223.6999999999998</v>
      </c>
      <c r="I182" s="37">
        <v>40261.025999999998</v>
      </c>
      <c r="J182" s="37">
        <v>40885.917000000001</v>
      </c>
      <c r="K182" s="37">
        <v>2773.3939999999998</v>
      </c>
      <c r="L182" s="37">
        <v>0</v>
      </c>
      <c r="M182" s="37">
        <v>17742.637999999999</v>
      </c>
      <c r="N182" s="39">
        <f>+M182-O182</f>
        <v>0</v>
      </c>
      <c r="O182" s="37">
        <v>17742.637999999999</v>
      </c>
      <c r="P182" s="40">
        <v>10.4</v>
      </c>
      <c r="Q182" s="40">
        <v>0</v>
      </c>
      <c r="R182" s="41">
        <f>SUM(P182:Q182)</f>
        <v>10.4</v>
      </c>
      <c r="S182" s="42">
        <v>4268</v>
      </c>
    </row>
    <row r="183" spans="2:19" ht="15.75" x14ac:dyDescent="0.25">
      <c r="B183" s="29"/>
      <c r="C183" s="29"/>
      <c r="D183" s="29"/>
      <c r="E183" s="29"/>
      <c r="F183" s="29"/>
      <c r="G183" s="43"/>
      <c r="H183" s="44"/>
      <c r="I183" s="31"/>
      <c r="J183" s="31"/>
      <c r="K183" s="31"/>
      <c r="L183" s="31"/>
      <c r="M183" s="31"/>
      <c r="N183" s="45"/>
      <c r="O183" s="31"/>
      <c r="P183" s="31"/>
      <c r="Q183" s="31"/>
      <c r="R183" s="45"/>
      <c r="S183" s="31"/>
    </row>
    <row r="184" spans="2:19" ht="15.75" x14ac:dyDescent="0.25">
      <c r="B184" s="34">
        <f>COUNT(B182:B183)</f>
        <v>1</v>
      </c>
      <c r="C184" s="34"/>
      <c r="D184" s="48"/>
      <c r="E184" s="48"/>
      <c r="F184" s="48">
        <f>SUM(F182:F183)</f>
        <v>22237</v>
      </c>
      <c r="G184" s="49"/>
      <c r="H184" s="50">
        <f t="shared" ref="H184:O184" si="33">SUM(H182:H183)</f>
        <v>2223.6999999999998</v>
      </c>
      <c r="I184" s="48">
        <f t="shared" si="33"/>
        <v>40261.025999999998</v>
      </c>
      <c r="J184" s="48">
        <f t="shared" si="33"/>
        <v>40885.917000000001</v>
      </c>
      <c r="K184" s="48">
        <f t="shared" si="33"/>
        <v>2773.3939999999998</v>
      </c>
      <c r="L184" s="48">
        <f t="shared" si="33"/>
        <v>0</v>
      </c>
      <c r="M184" s="48">
        <f t="shared" si="33"/>
        <v>17742.637999999999</v>
      </c>
      <c r="N184" s="51">
        <f t="shared" si="33"/>
        <v>0</v>
      </c>
      <c r="O184" s="48">
        <f t="shared" si="33"/>
        <v>17742.637999999999</v>
      </c>
      <c r="P184" s="52"/>
      <c r="Q184" s="52"/>
      <c r="R184" s="53"/>
      <c r="S184" s="54">
        <f>SUM(S182:S183)</f>
        <v>4268</v>
      </c>
    </row>
    <row r="185" spans="2:19" ht="15.75" x14ac:dyDescent="0.25">
      <c r="B185" s="62"/>
      <c r="C185" s="62"/>
      <c r="D185" s="63"/>
      <c r="E185" s="63"/>
      <c r="F185" s="63"/>
      <c r="G185" s="65"/>
      <c r="H185" s="66"/>
      <c r="I185" s="63"/>
      <c r="J185" s="63"/>
      <c r="K185" s="63"/>
      <c r="L185" s="63"/>
      <c r="M185" s="63"/>
      <c r="N185" s="66"/>
      <c r="O185" s="63"/>
      <c r="P185" s="67"/>
      <c r="Q185" s="67"/>
      <c r="R185" s="68"/>
      <c r="S185" s="69"/>
    </row>
    <row r="186" spans="2:19" ht="15.75" x14ac:dyDescent="0.25">
      <c r="B186" s="29"/>
      <c r="C186" s="29"/>
      <c r="D186" s="29"/>
      <c r="E186" s="29"/>
      <c r="F186" s="29"/>
      <c r="G186" s="43"/>
      <c r="H186" s="44"/>
      <c r="I186" s="31"/>
      <c r="J186" s="31"/>
      <c r="K186" s="31"/>
      <c r="L186" s="31"/>
      <c r="M186" s="31"/>
      <c r="N186" s="45"/>
      <c r="O186" s="31"/>
      <c r="P186" s="31"/>
      <c r="Q186" s="31"/>
      <c r="R186" s="45"/>
      <c r="S186" s="31"/>
    </row>
    <row r="187" spans="2:19" ht="18.75" x14ac:dyDescent="0.3">
      <c r="B187" s="29"/>
      <c r="C187" s="33">
        <v>8</v>
      </c>
      <c r="D187" s="33" t="s">
        <v>298</v>
      </c>
      <c r="E187" s="61"/>
      <c r="F187" s="61"/>
      <c r="G187" s="43"/>
      <c r="H187" s="44"/>
      <c r="I187" s="31"/>
      <c r="J187" s="31"/>
      <c r="K187" s="31"/>
      <c r="L187" s="31"/>
      <c r="M187" s="31"/>
      <c r="N187" s="45"/>
      <c r="O187" s="31"/>
      <c r="P187" s="31"/>
      <c r="Q187" s="31"/>
      <c r="R187" s="45"/>
      <c r="S187" s="31"/>
    </row>
    <row r="188" spans="2:19" ht="15.75" x14ac:dyDescent="0.25">
      <c r="B188" s="29"/>
      <c r="C188" s="29"/>
      <c r="D188" s="29"/>
      <c r="E188" s="29"/>
      <c r="F188" s="29"/>
      <c r="G188" s="43"/>
      <c r="H188" s="44"/>
      <c r="I188" s="31"/>
      <c r="J188" s="31"/>
      <c r="K188" s="31"/>
      <c r="L188" s="31"/>
      <c r="M188" s="31"/>
      <c r="N188" s="45"/>
      <c r="O188" s="31"/>
      <c r="P188" s="31"/>
      <c r="Q188" s="31"/>
      <c r="R188" s="45"/>
      <c r="S188" s="31"/>
    </row>
    <row r="189" spans="2:19" ht="15.75" x14ac:dyDescent="0.25">
      <c r="B189" s="55">
        <v>1</v>
      </c>
      <c r="C189" s="55" t="s">
        <v>299</v>
      </c>
      <c r="D189" s="35" t="s">
        <v>300</v>
      </c>
      <c r="E189" s="36">
        <v>42551</v>
      </c>
      <c r="F189" s="37">
        <v>75.599999999999994</v>
      </c>
      <c r="G189" s="38">
        <v>10</v>
      </c>
      <c r="H189" s="39">
        <f t="shared" ref="H189:H250" si="34">+F189/G189</f>
        <v>7.56</v>
      </c>
      <c r="I189" s="37">
        <v>207.98023499999999</v>
      </c>
      <c r="J189" s="37">
        <v>952.08389899999997</v>
      </c>
      <c r="K189" s="37">
        <v>1475.4923120000001</v>
      </c>
      <c r="L189" s="37">
        <v>26.748021999999999</v>
      </c>
      <c r="M189" s="37">
        <v>-9.5793280000000003</v>
      </c>
      <c r="N189" s="39">
        <f t="shared" ref="N189:N250" si="35">+M189-O189</f>
        <v>-5.028009</v>
      </c>
      <c r="O189" s="37">
        <v>-4.5513190000000003</v>
      </c>
      <c r="P189" s="40">
        <v>0</v>
      </c>
      <c r="Q189" s="40">
        <v>0</v>
      </c>
      <c r="R189" s="41">
        <f t="shared" ref="R189:R250" si="36">SUM(P189:Q189)</f>
        <v>0</v>
      </c>
      <c r="S189" s="42">
        <v>782</v>
      </c>
    </row>
    <row r="190" spans="2:19" ht="15.75" x14ac:dyDescent="0.25">
      <c r="B190" s="55">
        <f>+B189+1</f>
        <v>2</v>
      </c>
      <c r="C190" s="55" t="s">
        <v>301</v>
      </c>
      <c r="D190" s="35" t="s">
        <v>302</v>
      </c>
      <c r="E190" s="36">
        <v>42551</v>
      </c>
      <c r="F190" s="37">
        <v>151.77000000000001</v>
      </c>
      <c r="G190" s="38">
        <v>10</v>
      </c>
      <c r="H190" s="39">
        <f t="shared" si="34"/>
        <v>15.177000000000001</v>
      </c>
      <c r="I190" s="37">
        <v>-150.12380999999999</v>
      </c>
      <c r="J190" s="37">
        <v>827.08073100000001</v>
      </c>
      <c r="K190" s="37">
        <v>1092.538902</v>
      </c>
      <c r="L190" s="37">
        <v>4.4909999999999999E-2</v>
      </c>
      <c r="M190" s="37">
        <v>-13.283037</v>
      </c>
      <c r="N190" s="39">
        <f t="shared" si="35"/>
        <v>3.8599999999995305E-3</v>
      </c>
      <c r="O190" s="37">
        <v>-13.286897</v>
      </c>
      <c r="P190" s="40">
        <v>0</v>
      </c>
      <c r="Q190" s="40">
        <v>0</v>
      </c>
      <c r="R190" s="41">
        <f t="shared" si="36"/>
        <v>0</v>
      </c>
      <c r="S190" s="42">
        <v>2057</v>
      </c>
    </row>
    <row r="191" spans="2:19" ht="15.75" x14ac:dyDescent="0.25">
      <c r="B191" s="55">
        <f t="shared" ref="B191:B250" si="37">+B190+1</f>
        <v>3</v>
      </c>
      <c r="C191" s="55" t="s">
        <v>303</v>
      </c>
      <c r="D191" s="35" t="s">
        <v>304</v>
      </c>
      <c r="E191" s="36">
        <v>42551</v>
      </c>
      <c r="F191" s="37">
        <v>8</v>
      </c>
      <c r="G191" s="38">
        <v>10</v>
      </c>
      <c r="H191" s="39">
        <f t="shared" si="34"/>
        <v>0.8</v>
      </c>
      <c r="I191" s="37">
        <v>268.906409</v>
      </c>
      <c r="J191" s="37">
        <v>1347.5630860000001</v>
      </c>
      <c r="K191" s="37">
        <v>1673.1568689999999</v>
      </c>
      <c r="L191" s="37">
        <v>13.441299000000001</v>
      </c>
      <c r="M191" s="37">
        <v>-35.643655000000003</v>
      </c>
      <c r="N191" s="39">
        <f t="shared" si="35"/>
        <v>2.1554429999999982</v>
      </c>
      <c r="O191" s="37">
        <v>-37.799098000000001</v>
      </c>
      <c r="P191" s="40">
        <v>0</v>
      </c>
      <c r="Q191" s="40">
        <v>0</v>
      </c>
      <c r="R191" s="41">
        <f t="shared" si="36"/>
        <v>0</v>
      </c>
      <c r="S191" s="42">
        <v>181</v>
      </c>
    </row>
    <row r="192" spans="2:19" ht="15.75" x14ac:dyDescent="0.25">
      <c r="B192" s="55">
        <f t="shared" si="37"/>
        <v>4</v>
      </c>
      <c r="C192" s="55" t="s">
        <v>305</v>
      </c>
      <c r="D192" s="35" t="s">
        <v>306</v>
      </c>
      <c r="E192" s="36">
        <v>42551</v>
      </c>
      <c r="F192" s="37">
        <v>2594.30134</v>
      </c>
      <c r="G192" s="38">
        <v>10</v>
      </c>
      <c r="H192" s="39">
        <f>+F192/G192</f>
        <v>259.43013400000001</v>
      </c>
      <c r="I192" s="37">
        <v>-4633.1400830000002</v>
      </c>
      <c r="J192" s="37">
        <v>10462.15526</v>
      </c>
      <c r="K192" s="37">
        <v>2154.385182</v>
      </c>
      <c r="L192" s="37">
        <v>155.26037700000001</v>
      </c>
      <c r="M192" s="37">
        <v>-1514.360541</v>
      </c>
      <c r="N192" s="39">
        <f>+M192-O192</f>
        <v>11.537055999999893</v>
      </c>
      <c r="O192" s="37">
        <v>-1525.8975969999999</v>
      </c>
      <c r="P192" s="40">
        <v>0</v>
      </c>
      <c r="Q192" s="40">
        <v>0</v>
      </c>
      <c r="R192" s="41">
        <f>SUM(P192:Q192)</f>
        <v>0</v>
      </c>
      <c r="S192" s="42">
        <v>2334</v>
      </c>
    </row>
    <row r="193" spans="2:19" ht="15.75" x14ac:dyDescent="0.25">
      <c r="B193" s="55">
        <f t="shared" si="37"/>
        <v>5</v>
      </c>
      <c r="C193" s="55" t="s">
        <v>307</v>
      </c>
      <c r="D193" s="35" t="s">
        <v>308</v>
      </c>
      <c r="E193" s="36">
        <v>42551</v>
      </c>
      <c r="F193" s="37">
        <v>14</v>
      </c>
      <c r="G193" s="38">
        <v>10</v>
      </c>
      <c r="H193" s="39">
        <f t="shared" si="34"/>
        <v>1.4</v>
      </c>
      <c r="I193" s="37">
        <v>22.391999999999999</v>
      </c>
      <c r="J193" s="37">
        <v>1348.2670000000001</v>
      </c>
      <c r="K193" s="37">
        <v>364.87599999999998</v>
      </c>
      <c r="L193" s="37">
        <v>31.085999999999999</v>
      </c>
      <c r="M193" s="37">
        <v>-298.5</v>
      </c>
      <c r="N193" s="39">
        <f t="shared" si="35"/>
        <v>3.6549999999999727</v>
      </c>
      <c r="O193" s="37">
        <v>-302.15499999999997</v>
      </c>
      <c r="P193" s="40">
        <v>0</v>
      </c>
      <c r="Q193" s="40">
        <v>0</v>
      </c>
      <c r="R193" s="41">
        <f t="shared" si="36"/>
        <v>0</v>
      </c>
      <c r="S193" s="42">
        <v>93</v>
      </c>
    </row>
    <row r="194" spans="2:19" ht="15.75" x14ac:dyDescent="0.25">
      <c r="B194" s="55">
        <f t="shared" si="37"/>
        <v>6</v>
      </c>
      <c r="C194" s="55" t="s">
        <v>309</v>
      </c>
      <c r="D194" s="35" t="s">
        <v>310</v>
      </c>
      <c r="E194" s="36">
        <v>42551</v>
      </c>
      <c r="F194" s="37">
        <v>36.521999999999998</v>
      </c>
      <c r="G194" s="38">
        <v>10</v>
      </c>
      <c r="H194" s="39">
        <f t="shared" si="34"/>
        <v>3.6521999999999997</v>
      </c>
      <c r="I194" s="37">
        <v>607.38900000000001</v>
      </c>
      <c r="J194" s="37">
        <v>2091.3330000000001</v>
      </c>
      <c r="K194" s="37">
        <v>1444.2470000000001</v>
      </c>
      <c r="L194" s="37">
        <v>27.417999999999999</v>
      </c>
      <c r="M194" s="37">
        <v>-49.85</v>
      </c>
      <c r="N194" s="39">
        <f t="shared" si="35"/>
        <v>-37.378</v>
      </c>
      <c r="O194" s="37">
        <v>-12.472</v>
      </c>
      <c r="P194" s="40">
        <v>0</v>
      </c>
      <c r="Q194" s="40">
        <v>0</v>
      </c>
      <c r="R194" s="41">
        <f t="shared" si="36"/>
        <v>0</v>
      </c>
      <c r="S194" s="42">
        <v>1598</v>
      </c>
    </row>
    <row r="195" spans="2:19" ht="15.75" x14ac:dyDescent="0.25">
      <c r="B195" s="55">
        <f t="shared" si="37"/>
        <v>7</v>
      </c>
      <c r="C195" s="55" t="s">
        <v>311</v>
      </c>
      <c r="D195" s="35" t="s">
        <v>312</v>
      </c>
      <c r="E195" s="36">
        <v>42551</v>
      </c>
      <c r="F195" s="37">
        <v>141</v>
      </c>
      <c r="G195" s="38">
        <v>10</v>
      </c>
      <c r="H195" s="39">
        <f t="shared" si="34"/>
        <v>14.1</v>
      </c>
      <c r="I195" s="37">
        <v>-230.11478199999999</v>
      </c>
      <c r="J195" s="37">
        <v>1250.4058560000001</v>
      </c>
      <c r="K195" s="37">
        <v>1067.924088</v>
      </c>
      <c r="L195" s="37">
        <v>24.164075</v>
      </c>
      <c r="M195" s="37">
        <v>-212.90118799999999</v>
      </c>
      <c r="N195" s="39">
        <f t="shared" si="35"/>
        <v>-60.778153000000003</v>
      </c>
      <c r="O195" s="37">
        <v>-152.12303499999999</v>
      </c>
      <c r="P195" s="40">
        <v>0</v>
      </c>
      <c r="Q195" s="40">
        <v>0</v>
      </c>
      <c r="R195" s="41">
        <f t="shared" si="36"/>
        <v>0</v>
      </c>
      <c r="S195" s="42">
        <v>861</v>
      </c>
    </row>
    <row r="196" spans="2:19" ht="15.75" x14ac:dyDescent="0.25">
      <c r="B196" s="55">
        <f t="shared" si="37"/>
        <v>8</v>
      </c>
      <c r="C196" s="55" t="s">
        <v>313</v>
      </c>
      <c r="D196" s="35" t="s">
        <v>314</v>
      </c>
      <c r="E196" s="36">
        <v>42551</v>
      </c>
      <c r="F196" s="37">
        <v>213.77500000000001</v>
      </c>
      <c r="G196" s="38">
        <v>10</v>
      </c>
      <c r="H196" s="39">
        <f t="shared" si="34"/>
        <v>21.377500000000001</v>
      </c>
      <c r="I196" s="37">
        <v>577.78599999999994</v>
      </c>
      <c r="J196" s="37">
        <v>4559.4440000000004</v>
      </c>
      <c r="K196" s="37">
        <v>3453.569</v>
      </c>
      <c r="L196" s="37">
        <v>31.805</v>
      </c>
      <c r="M196" s="37">
        <v>-14.845000000000001</v>
      </c>
      <c r="N196" s="39">
        <f t="shared" si="35"/>
        <v>7.51</v>
      </c>
      <c r="O196" s="37">
        <v>-22.355</v>
      </c>
      <c r="P196" s="40">
        <v>0</v>
      </c>
      <c r="Q196" s="40">
        <v>0</v>
      </c>
      <c r="R196" s="41">
        <f t="shared" si="36"/>
        <v>0</v>
      </c>
      <c r="S196" s="42">
        <v>1454</v>
      </c>
    </row>
    <row r="197" spans="2:19" ht="15.75" x14ac:dyDescent="0.25">
      <c r="B197" s="55">
        <f t="shared" si="37"/>
        <v>9</v>
      </c>
      <c r="C197" s="55" t="s">
        <v>315</v>
      </c>
      <c r="D197" s="35" t="s">
        <v>316</v>
      </c>
      <c r="E197" s="36">
        <v>42551</v>
      </c>
      <c r="F197" s="37">
        <v>124.17876</v>
      </c>
      <c r="G197" s="38">
        <v>10</v>
      </c>
      <c r="H197" s="39">
        <f t="shared" si="34"/>
        <v>12.417876</v>
      </c>
      <c r="I197" s="37">
        <v>935.20937500000002</v>
      </c>
      <c r="J197" s="37">
        <v>2345.59753</v>
      </c>
      <c r="K197" s="37">
        <v>3501.7654560000001</v>
      </c>
      <c r="L197" s="37">
        <v>78.338532000000001</v>
      </c>
      <c r="M197" s="37">
        <v>29.517575000000001</v>
      </c>
      <c r="N197" s="39">
        <f t="shared" si="35"/>
        <v>-0.66168000000000049</v>
      </c>
      <c r="O197" s="37">
        <v>30.179255000000001</v>
      </c>
      <c r="P197" s="40">
        <f>10</f>
        <v>10</v>
      </c>
      <c r="Q197" s="40">
        <v>0</v>
      </c>
      <c r="R197" s="41">
        <f t="shared" si="36"/>
        <v>10</v>
      </c>
      <c r="S197" s="42">
        <v>1473</v>
      </c>
    </row>
    <row r="198" spans="2:19" ht="15.75" x14ac:dyDescent="0.25">
      <c r="B198" s="55">
        <f t="shared" si="37"/>
        <v>10</v>
      </c>
      <c r="C198" s="55" t="s">
        <v>317</v>
      </c>
      <c r="D198" s="35" t="s">
        <v>318</v>
      </c>
      <c r="E198" s="36">
        <v>42551</v>
      </c>
      <c r="F198" s="37">
        <v>4980.1000000000004</v>
      </c>
      <c r="G198" s="38">
        <v>10</v>
      </c>
      <c r="H198" s="39">
        <f t="shared" si="34"/>
        <v>498.01000000000005</v>
      </c>
      <c r="I198" s="37">
        <v>7776.69</v>
      </c>
      <c r="J198" s="37">
        <v>26720.129000000001</v>
      </c>
      <c r="K198" s="37">
        <v>11719.85</v>
      </c>
      <c r="L198" s="37">
        <v>835.14099999999996</v>
      </c>
      <c r="M198" s="37">
        <v>-895.58199999999999</v>
      </c>
      <c r="N198" s="39">
        <f t="shared" si="35"/>
        <v>-5.7709999999999582</v>
      </c>
      <c r="O198" s="37">
        <v>-889.81100000000004</v>
      </c>
      <c r="P198" s="40">
        <v>0</v>
      </c>
      <c r="Q198" s="40">
        <v>0</v>
      </c>
      <c r="R198" s="41">
        <f t="shared" si="36"/>
        <v>0</v>
      </c>
      <c r="S198" s="42">
        <v>3259</v>
      </c>
    </row>
    <row r="199" spans="2:19" ht="15.75" x14ac:dyDescent="0.25">
      <c r="B199" s="55">
        <f t="shared" si="37"/>
        <v>11</v>
      </c>
      <c r="C199" s="55" t="s">
        <v>319</v>
      </c>
      <c r="D199" s="35" t="s">
        <v>320</v>
      </c>
      <c r="E199" s="36">
        <v>42551</v>
      </c>
      <c r="F199" s="37">
        <v>200</v>
      </c>
      <c r="G199" s="38">
        <v>5</v>
      </c>
      <c r="H199" s="39">
        <f t="shared" si="34"/>
        <v>40</v>
      </c>
      <c r="I199" s="37">
        <v>-221.94156599999999</v>
      </c>
      <c r="J199" s="37">
        <v>1482.004844</v>
      </c>
      <c r="K199" s="37">
        <v>1057.846192</v>
      </c>
      <c r="L199" s="37">
        <v>30.935448999999998</v>
      </c>
      <c r="M199" s="37">
        <v>-332.70420799999999</v>
      </c>
      <c r="N199" s="39">
        <f t="shared" si="35"/>
        <v>2.0319660000000113</v>
      </c>
      <c r="O199" s="37">
        <v>-334.73617400000001</v>
      </c>
      <c r="P199" s="40">
        <v>0</v>
      </c>
      <c r="Q199" s="40">
        <v>0</v>
      </c>
      <c r="R199" s="41">
        <f t="shared" si="36"/>
        <v>0</v>
      </c>
      <c r="S199" s="42">
        <v>662</v>
      </c>
    </row>
    <row r="200" spans="2:19" ht="15.75" x14ac:dyDescent="0.25">
      <c r="B200" s="55">
        <f t="shared" si="37"/>
        <v>12</v>
      </c>
      <c r="C200" s="55" t="s">
        <v>321</v>
      </c>
      <c r="D200" s="35" t="s">
        <v>322</v>
      </c>
      <c r="E200" s="36">
        <v>42551</v>
      </c>
      <c r="F200" s="37">
        <v>977.50725999999997</v>
      </c>
      <c r="G200" s="38">
        <v>10</v>
      </c>
      <c r="H200" s="39">
        <f t="shared" si="34"/>
        <v>97.750726</v>
      </c>
      <c r="I200" s="37">
        <v>557.55715399999997</v>
      </c>
      <c r="J200" s="37">
        <v>2274.0999849999998</v>
      </c>
      <c r="K200" s="37">
        <v>865.28711699999997</v>
      </c>
      <c r="L200" s="37">
        <v>59.46246</v>
      </c>
      <c r="M200" s="37">
        <v>-275.95866899999999</v>
      </c>
      <c r="N200" s="39">
        <f t="shared" si="35"/>
        <v>-37.971159999999998</v>
      </c>
      <c r="O200" s="37">
        <v>-237.98750899999999</v>
      </c>
      <c r="P200" s="40">
        <v>0</v>
      </c>
      <c r="Q200" s="40">
        <v>0</v>
      </c>
      <c r="R200" s="41">
        <f t="shared" si="36"/>
        <v>0</v>
      </c>
      <c r="S200" s="42">
        <v>1862</v>
      </c>
    </row>
    <row r="201" spans="2:19" ht="15.75" x14ac:dyDescent="0.25">
      <c r="B201" s="55">
        <f t="shared" si="37"/>
        <v>13</v>
      </c>
      <c r="C201" s="55" t="s">
        <v>323</v>
      </c>
      <c r="D201" s="35" t="s">
        <v>324</v>
      </c>
      <c r="E201" s="36">
        <v>42551</v>
      </c>
      <c r="F201" s="37">
        <v>224.21688</v>
      </c>
      <c r="G201" s="38">
        <v>10</v>
      </c>
      <c r="H201" s="39">
        <f t="shared" si="34"/>
        <v>22.421688</v>
      </c>
      <c r="I201" s="37">
        <v>1747.6881330000001</v>
      </c>
      <c r="J201" s="37">
        <v>5629.4054219999998</v>
      </c>
      <c r="K201" s="37">
        <v>7602.6037329999999</v>
      </c>
      <c r="L201" s="37">
        <v>259.50455699999998</v>
      </c>
      <c r="M201" s="37">
        <v>201.12831800000001</v>
      </c>
      <c r="N201" s="39">
        <f t="shared" si="35"/>
        <v>140.609576</v>
      </c>
      <c r="O201" s="37">
        <v>60.518742000000003</v>
      </c>
      <c r="P201" s="40">
        <f>12.5</f>
        <v>12.5</v>
      </c>
      <c r="Q201" s="40">
        <v>0</v>
      </c>
      <c r="R201" s="41">
        <f t="shared" si="36"/>
        <v>12.5</v>
      </c>
      <c r="S201" s="42">
        <v>842</v>
      </c>
    </row>
    <row r="202" spans="2:19" ht="15.75" x14ac:dyDescent="0.25">
      <c r="B202" s="55">
        <f t="shared" si="37"/>
        <v>14</v>
      </c>
      <c r="C202" s="55" t="s">
        <v>325</v>
      </c>
      <c r="D202" s="35" t="s">
        <v>326</v>
      </c>
      <c r="E202" s="36">
        <v>42551</v>
      </c>
      <c r="F202" s="37">
        <v>66.107590000000002</v>
      </c>
      <c r="G202" s="38">
        <v>10</v>
      </c>
      <c r="H202" s="39">
        <f t="shared" si="34"/>
        <v>6.6107589999999998</v>
      </c>
      <c r="I202" s="37">
        <v>-166.336682</v>
      </c>
      <c r="J202" s="37">
        <v>869.38901799999996</v>
      </c>
      <c r="K202" s="37">
        <v>348.85764999999998</v>
      </c>
      <c r="L202" s="37">
        <v>14.793761999999999</v>
      </c>
      <c r="M202" s="37">
        <v>-248.255109</v>
      </c>
      <c r="N202" s="39">
        <f t="shared" si="35"/>
        <v>34.388639000000012</v>
      </c>
      <c r="O202" s="37">
        <v>-282.64374800000002</v>
      </c>
      <c r="P202" s="40">
        <v>0</v>
      </c>
      <c r="Q202" s="40">
        <v>0</v>
      </c>
      <c r="R202" s="41">
        <f t="shared" si="36"/>
        <v>0</v>
      </c>
      <c r="S202" s="42">
        <v>733</v>
      </c>
    </row>
    <row r="203" spans="2:19" ht="15.75" x14ac:dyDescent="0.25">
      <c r="B203" s="55">
        <f t="shared" si="37"/>
        <v>15</v>
      </c>
      <c r="C203" s="55" t="s">
        <v>327</v>
      </c>
      <c r="D203" s="35" t="s">
        <v>328</v>
      </c>
      <c r="E203" s="36">
        <v>42551</v>
      </c>
      <c r="F203" s="37">
        <v>65.610280000000003</v>
      </c>
      <c r="G203" s="38">
        <v>10</v>
      </c>
      <c r="H203" s="39">
        <f t="shared" si="34"/>
        <v>6.5610280000000003</v>
      </c>
      <c r="I203" s="37">
        <v>-9.2359860000000005</v>
      </c>
      <c r="J203" s="37">
        <v>898.08692299999996</v>
      </c>
      <c r="K203" s="37">
        <v>737.42131400000005</v>
      </c>
      <c r="L203" s="37">
        <v>28.160297</v>
      </c>
      <c r="M203" s="37">
        <v>-183.15776700000001</v>
      </c>
      <c r="N203" s="39">
        <f t="shared" si="35"/>
        <v>4.5774849999999958</v>
      </c>
      <c r="O203" s="37">
        <v>-187.735252</v>
      </c>
      <c r="P203" s="40">
        <v>0</v>
      </c>
      <c r="Q203" s="40">
        <v>0</v>
      </c>
      <c r="R203" s="41">
        <f t="shared" si="36"/>
        <v>0</v>
      </c>
      <c r="S203" s="42">
        <v>678</v>
      </c>
    </row>
    <row r="204" spans="2:19" ht="15.75" x14ac:dyDescent="0.25">
      <c r="B204" s="55">
        <f t="shared" si="37"/>
        <v>16</v>
      </c>
      <c r="C204" s="55" t="s">
        <v>329</v>
      </c>
      <c r="D204" s="35" t="s">
        <v>330</v>
      </c>
      <c r="E204" s="36">
        <v>42551</v>
      </c>
      <c r="F204" s="37">
        <v>30.524290000000001</v>
      </c>
      <c r="G204" s="38">
        <v>10</v>
      </c>
      <c r="H204" s="39">
        <f t="shared" si="34"/>
        <v>3.0524290000000001</v>
      </c>
      <c r="I204" s="37">
        <v>-30.960871999999998</v>
      </c>
      <c r="J204" s="37">
        <v>730.41861200000005</v>
      </c>
      <c r="K204" s="37">
        <v>0.19808000000000001</v>
      </c>
      <c r="L204" s="37">
        <v>1.9477850000000001</v>
      </c>
      <c r="M204" s="37">
        <v>-86.941970999999995</v>
      </c>
      <c r="N204" s="39">
        <f t="shared" si="35"/>
        <v>-28.112959999999994</v>
      </c>
      <c r="O204" s="37">
        <v>-58.829011000000001</v>
      </c>
      <c r="P204" s="40">
        <v>0</v>
      </c>
      <c r="Q204" s="40">
        <v>0</v>
      </c>
      <c r="R204" s="41">
        <f t="shared" si="36"/>
        <v>0</v>
      </c>
      <c r="S204" s="42">
        <v>343</v>
      </c>
    </row>
    <row r="205" spans="2:19" ht="15.75" x14ac:dyDescent="0.25">
      <c r="B205" s="55">
        <f t="shared" si="37"/>
        <v>17</v>
      </c>
      <c r="C205" s="55" t="s">
        <v>331</v>
      </c>
      <c r="D205" s="35" t="s">
        <v>332</v>
      </c>
      <c r="E205" s="36">
        <v>42551</v>
      </c>
      <c r="F205" s="37">
        <v>600</v>
      </c>
      <c r="G205" s="38">
        <v>10</v>
      </c>
      <c r="H205" s="39">
        <f t="shared" si="34"/>
        <v>60</v>
      </c>
      <c r="I205" s="37">
        <v>-124.84793500000001</v>
      </c>
      <c r="J205" s="37">
        <v>732.44069200000001</v>
      </c>
      <c r="K205" s="37">
        <v>635.02561400000002</v>
      </c>
      <c r="L205" s="37">
        <v>1.458056</v>
      </c>
      <c r="M205" s="37">
        <v>-33.138800000000003</v>
      </c>
      <c r="N205" s="39">
        <f t="shared" si="35"/>
        <v>-49.668989000000003</v>
      </c>
      <c r="O205" s="37">
        <v>16.530189</v>
      </c>
      <c r="P205" s="40">
        <v>0</v>
      </c>
      <c r="Q205" s="40">
        <v>0</v>
      </c>
      <c r="R205" s="41">
        <f t="shared" si="36"/>
        <v>0</v>
      </c>
      <c r="S205" s="42">
        <v>1849</v>
      </c>
    </row>
    <row r="206" spans="2:19" ht="15.75" x14ac:dyDescent="0.25">
      <c r="B206" s="55">
        <f t="shared" si="37"/>
        <v>18</v>
      </c>
      <c r="C206" s="55" t="s">
        <v>333</v>
      </c>
      <c r="D206" s="47" t="s">
        <v>334</v>
      </c>
      <c r="E206" s="36">
        <v>42551</v>
      </c>
      <c r="F206" s="37">
        <v>80</v>
      </c>
      <c r="G206" s="38">
        <v>10</v>
      </c>
      <c r="H206" s="39">
        <f t="shared" si="34"/>
        <v>8</v>
      </c>
      <c r="I206" s="37">
        <v>-299.57965200000001</v>
      </c>
      <c r="J206" s="37">
        <v>746.54956900000002</v>
      </c>
      <c r="K206" s="37">
        <v>0</v>
      </c>
      <c r="L206" s="37">
        <v>29.247354999999999</v>
      </c>
      <c r="M206" s="37">
        <v>-81.524754999999999</v>
      </c>
      <c r="N206" s="39">
        <f t="shared" si="35"/>
        <v>-19.497824000000001</v>
      </c>
      <c r="O206" s="37">
        <v>-62.026930999999998</v>
      </c>
      <c r="P206" s="40">
        <v>0</v>
      </c>
      <c r="Q206" s="40">
        <v>0</v>
      </c>
      <c r="R206" s="41">
        <f t="shared" si="36"/>
        <v>0</v>
      </c>
      <c r="S206" s="42">
        <v>1265</v>
      </c>
    </row>
    <row r="207" spans="2:19" ht="15.75" x14ac:dyDescent="0.25">
      <c r="B207" s="55">
        <f t="shared" si="37"/>
        <v>19</v>
      </c>
      <c r="C207" s="55" t="s">
        <v>335</v>
      </c>
      <c r="D207" s="35" t="s">
        <v>336</v>
      </c>
      <c r="E207" s="36">
        <v>42551</v>
      </c>
      <c r="F207" s="37">
        <v>460.64609000000002</v>
      </c>
      <c r="G207" s="38">
        <v>10</v>
      </c>
      <c r="H207" s="39">
        <f t="shared" si="34"/>
        <v>46.064609000000004</v>
      </c>
      <c r="I207" s="37">
        <v>-1325.2266070000001</v>
      </c>
      <c r="J207" s="37">
        <v>3837.505725</v>
      </c>
      <c r="K207" s="37">
        <v>333.61976499999997</v>
      </c>
      <c r="L207" s="37">
        <v>203.282793</v>
      </c>
      <c r="M207" s="37">
        <v>-870.57187999999996</v>
      </c>
      <c r="N207" s="39">
        <f t="shared" si="35"/>
        <v>-17.907807999999932</v>
      </c>
      <c r="O207" s="37">
        <v>-852.66407200000003</v>
      </c>
      <c r="P207" s="40">
        <v>0</v>
      </c>
      <c r="Q207" s="40">
        <v>0</v>
      </c>
      <c r="R207" s="41">
        <f t="shared" si="36"/>
        <v>0</v>
      </c>
      <c r="S207" s="42">
        <v>317</v>
      </c>
    </row>
    <row r="208" spans="2:19" ht="15.75" x14ac:dyDescent="0.25">
      <c r="B208" s="55">
        <f t="shared" si="37"/>
        <v>20</v>
      </c>
      <c r="C208" s="55" t="s">
        <v>337</v>
      </c>
      <c r="D208" s="35" t="s">
        <v>338</v>
      </c>
      <c r="E208" s="36">
        <v>42551</v>
      </c>
      <c r="F208" s="37">
        <v>13</v>
      </c>
      <c r="G208" s="38">
        <v>10</v>
      </c>
      <c r="H208" s="39">
        <f>+F208/G208</f>
        <v>1.3</v>
      </c>
      <c r="I208" s="37">
        <v>-60.963386</v>
      </c>
      <c r="J208" s="37">
        <v>121.665858</v>
      </c>
      <c r="K208" s="37">
        <v>283.618449</v>
      </c>
      <c r="L208" s="37">
        <v>8.2299999999999995E-3</v>
      </c>
      <c r="M208" s="37">
        <v>-2.121191</v>
      </c>
      <c r="N208" s="39">
        <f>+M208-O208</f>
        <v>1.9055449999999996</v>
      </c>
      <c r="O208" s="37">
        <v>-4.0267359999999996</v>
      </c>
      <c r="P208" s="40">
        <v>0</v>
      </c>
      <c r="Q208" s="40">
        <v>0</v>
      </c>
      <c r="R208" s="41">
        <f>SUM(P208:Q208)</f>
        <v>0</v>
      </c>
      <c r="S208" s="42">
        <v>118</v>
      </c>
    </row>
    <row r="209" spans="2:19" ht="15.75" x14ac:dyDescent="0.25">
      <c r="B209" s="55">
        <f t="shared" si="37"/>
        <v>21</v>
      </c>
      <c r="C209" s="55" t="s">
        <v>339</v>
      </c>
      <c r="D209" s="35" t="s">
        <v>340</v>
      </c>
      <c r="E209" s="36">
        <v>42551</v>
      </c>
      <c r="F209" s="37">
        <v>109.5</v>
      </c>
      <c r="G209" s="38">
        <v>10</v>
      </c>
      <c r="H209" s="39">
        <f t="shared" si="34"/>
        <v>10.95</v>
      </c>
      <c r="I209" s="37">
        <v>1418.4816989999999</v>
      </c>
      <c r="J209" s="37">
        <v>2870.2956279999999</v>
      </c>
      <c r="K209" s="37">
        <v>4227.9099800000004</v>
      </c>
      <c r="L209" s="37">
        <v>50.863109000000001</v>
      </c>
      <c r="M209" s="37">
        <v>59.489525</v>
      </c>
      <c r="N209" s="39">
        <f t="shared" si="35"/>
        <v>-11.675020000000004</v>
      </c>
      <c r="O209" s="37">
        <v>71.164545000000004</v>
      </c>
      <c r="P209" s="40">
        <f>35</f>
        <v>35</v>
      </c>
      <c r="Q209" s="40">
        <v>0</v>
      </c>
      <c r="R209" s="41">
        <f t="shared" si="36"/>
        <v>35</v>
      </c>
      <c r="S209" s="42">
        <v>559</v>
      </c>
    </row>
    <row r="210" spans="2:19" ht="15.75" x14ac:dyDescent="0.25">
      <c r="B210" s="55">
        <f t="shared" si="37"/>
        <v>22</v>
      </c>
      <c r="C210" s="55" t="s">
        <v>341</v>
      </c>
      <c r="D210" s="35" t="s">
        <v>342</v>
      </c>
      <c r="E210" s="36">
        <v>42551</v>
      </c>
      <c r="F210" s="37">
        <v>300</v>
      </c>
      <c r="G210" s="38">
        <v>10</v>
      </c>
      <c r="H210" s="39">
        <f t="shared" si="34"/>
        <v>30</v>
      </c>
      <c r="I210" s="37">
        <v>8705.2007020000001</v>
      </c>
      <c r="J210" s="37">
        <v>31024.107118</v>
      </c>
      <c r="K210" s="37">
        <v>20615.979078</v>
      </c>
      <c r="L210" s="37">
        <v>917.29423799999995</v>
      </c>
      <c r="M210" s="37">
        <v>456.06216000000001</v>
      </c>
      <c r="N210" s="39">
        <f t="shared" si="35"/>
        <v>306.49795</v>
      </c>
      <c r="O210" s="37">
        <v>149.56421</v>
      </c>
      <c r="P210" s="40">
        <f>25</f>
        <v>25</v>
      </c>
      <c r="Q210" s="40">
        <v>0</v>
      </c>
      <c r="R210" s="41">
        <f t="shared" si="36"/>
        <v>25</v>
      </c>
      <c r="S210" s="42">
        <v>1353</v>
      </c>
    </row>
    <row r="211" spans="2:19" ht="15.75" x14ac:dyDescent="0.25">
      <c r="B211" s="55">
        <f t="shared" si="37"/>
        <v>23</v>
      </c>
      <c r="C211" s="55" t="s">
        <v>343</v>
      </c>
      <c r="D211" s="35" t="s">
        <v>344</v>
      </c>
      <c r="E211" s="36">
        <v>42551</v>
      </c>
      <c r="F211" s="37">
        <v>280.29599999999999</v>
      </c>
      <c r="G211" s="38">
        <v>10</v>
      </c>
      <c r="H211" s="39">
        <f t="shared" si="34"/>
        <v>28.029599999999999</v>
      </c>
      <c r="I211" s="37">
        <v>6533.6049999999996</v>
      </c>
      <c r="J211" s="37">
        <v>19307.402999999998</v>
      </c>
      <c r="K211" s="37">
        <v>21269.476999999999</v>
      </c>
      <c r="L211" s="37">
        <v>449.17599999999999</v>
      </c>
      <c r="M211" s="37">
        <v>-92.164000000000001</v>
      </c>
      <c r="N211" s="39">
        <f t="shared" si="35"/>
        <v>181.68100000000004</v>
      </c>
      <c r="O211" s="37">
        <v>-273.84500000000003</v>
      </c>
      <c r="P211" s="40">
        <v>0</v>
      </c>
      <c r="Q211" s="40">
        <v>0</v>
      </c>
      <c r="R211" s="41">
        <f t="shared" si="36"/>
        <v>0</v>
      </c>
      <c r="S211" s="42">
        <v>2588</v>
      </c>
    </row>
    <row r="212" spans="2:19" ht="15.75" x14ac:dyDescent="0.25">
      <c r="B212" s="55">
        <f t="shared" si="37"/>
        <v>24</v>
      </c>
      <c r="C212" s="55" t="s">
        <v>345</v>
      </c>
      <c r="D212" s="35" t="s">
        <v>346</v>
      </c>
      <c r="E212" s="36">
        <v>42551</v>
      </c>
      <c r="F212" s="37">
        <v>266.39999999999998</v>
      </c>
      <c r="G212" s="38">
        <v>10</v>
      </c>
      <c r="H212" s="39">
        <f t="shared" si="34"/>
        <v>26.639999999999997</v>
      </c>
      <c r="I212" s="37">
        <v>233.368515</v>
      </c>
      <c r="J212" s="37">
        <v>1589.7978109999999</v>
      </c>
      <c r="K212" s="37">
        <v>1786.858733</v>
      </c>
      <c r="L212" s="37">
        <v>61.817113999999997</v>
      </c>
      <c r="M212" s="37">
        <v>-150.951697</v>
      </c>
      <c r="N212" s="39">
        <f t="shared" si="35"/>
        <v>5.1899319999999989</v>
      </c>
      <c r="O212" s="37">
        <v>-156.14162899999999</v>
      </c>
      <c r="P212" s="40">
        <v>0</v>
      </c>
      <c r="Q212" s="40">
        <v>0</v>
      </c>
      <c r="R212" s="41">
        <f t="shared" si="36"/>
        <v>0</v>
      </c>
      <c r="S212" s="42">
        <v>320</v>
      </c>
    </row>
    <row r="213" spans="2:19" ht="15.75" x14ac:dyDescent="0.25">
      <c r="B213" s="55">
        <f t="shared" si="37"/>
        <v>25</v>
      </c>
      <c r="C213" s="55" t="s">
        <v>347</v>
      </c>
      <c r="D213" s="35" t="s">
        <v>348</v>
      </c>
      <c r="E213" s="36">
        <v>42551</v>
      </c>
      <c r="F213" s="37">
        <v>865.77919999999995</v>
      </c>
      <c r="G213" s="38">
        <v>10</v>
      </c>
      <c r="H213" s="39">
        <f t="shared" si="34"/>
        <v>86.577919999999992</v>
      </c>
      <c r="I213" s="37">
        <v>1945.2373970000001</v>
      </c>
      <c r="J213" s="37">
        <v>5514.6055569999999</v>
      </c>
      <c r="K213" s="37">
        <v>3523.396385</v>
      </c>
      <c r="L213" s="37">
        <v>228.410314</v>
      </c>
      <c r="M213" s="37">
        <v>101.470333</v>
      </c>
      <c r="N213" s="39">
        <f t="shared" si="35"/>
        <v>7.8623099999999937</v>
      </c>
      <c r="O213" s="37">
        <v>93.608023000000003</v>
      </c>
      <c r="P213" s="40">
        <v>0</v>
      </c>
      <c r="Q213" s="40">
        <v>0</v>
      </c>
      <c r="R213" s="41">
        <f t="shared" si="36"/>
        <v>0</v>
      </c>
      <c r="S213" s="42">
        <v>1388</v>
      </c>
    </row>
    <row r="214" spans="2:19" ht="15.75" x14ac:dyDescent="0.25">
      <c r="B214" s="55">
        <f t="shared" si="37"/>
        <v>26</v>
      </c>
      <c r="C214" s="55" t="s">
        <v>349</v>
      </c>
      <c r="D214" s="35" t="s">
        <v>350</v>
      </c>
      <c r="E214" s="36">
        <v>42551</v>
      </c>
      <c r="F214" s="37">
        <v>119.7504</v>
      </c>
      <c r="G214" s="38">
        <v>10</v>
      </c>
      <c r="H214" s="39">
        <f t="shared" si="34"/>
        <v>11.97504</v>
      </c>
      <c r="I214" s="37">
        <v>48.935397000000002</v>
      </c>
      <c r="J214" s="37">
        <v>50.337102000000002</v>
      </c>
      <c r="K214" s="37">
        <v>0</v>
      </c>
      <c r="L214" s="37">
        <v>2.3080000000000002E-3</v>
      </c>
      <c r="M214" s="37">
        <v>-1.602752</v>
      </c>
      <c r="N214" s="39">
        <f t="shared" si="35"/>
        <v>0.164377</v>
      </c>
      <c r="O214" s="37">
        <v>-1.7671289999999999</v>
      </c>
      <c r="P214" s="40">
        <v>0</v>
      </c>
      <c r="Q214" s="40">
        <v>0</v>
      </c>
      <c r="R214" s="41">
        <f t="shared" si="36"/>
        <v>0</v>
      </c>
      <c r="S214" s="42">
        <v>272</v>
      </c>
    </row>
    <row r="215" spans="2:19" ht="15.75" x14ac:dyDescent="0.25">
      <c r="B215" s="55">
        <f t="shared" si="37"/>
        <v>27</v>
      </c>
      <c r="C215" s="55" t="s">
        <v>351</v>
      </c>
      <c r="D215" s="35" t="s">
        <v>352</v>
      </c>
      <c r="E215" s="36">
        <v>42551</v>
      </c>
      <c r="F215" s="37">
        <v>180.48</v>
      </c>
      <c r="G215" s="38">
        <v>10</v>
      </c>
      <c r="H215" s="39">
        <f t="shared" si="34"/>
        <v>18.047999999999998</v>
      </c>
      <c r="I215" s="37">
        <v>667.935878</v>
      </c>
      <c r="J215" s="37">
        <v>2998.872973</v>
      </c>
      <c r="K215" s="37">
        <v>1586.062979</v>
      </c>
      <c r="L215" s="37">
        <v>97.348847000000006</v>
      </c>
      <c r="M215" s="37">
        <v>-35.251382</v>
      </c>
      <c r="N215" s="39">
        <f t="shared" si="35"/>
        <v>-23.649372</v>
      </c>
      <c r="O215" s="37">
        <v>-11.60201</v>
      </c>
      <c r="P215" s="40">
        <v>0</v>
      </c>
      <c r="Q215" s="40">
        <v>0</v>
      </c>
      <c r="R215" s="41">
        <f t="shared" si="36"/>
        <v>0</v>
      </c>
      <c r="S215" s="42">
        <v>1499</v>
      </c>
    </row>
    <row r="216" spans="2:19" ht="15.75" x14ac:dyDescent="0.25">
      <c r="B216" s="55">
        <f t="shared" si="37"/>
        <v>28</v>
      </c>
      <c r="C216" s="55" t="s">
        <v>353</v>
      </c>
      <c r="D216" s="35" t="s">
        <v>354</v>
      </c>
      <c r="E216" s="36">
        <v>42551</v>
      </c>
      <c r="F216" s="37">
        <v>99.2</v>
      </c>
      <c r="G216" s="38">
        <v>10</v>
      </c>
      <c r="H216" s="39">
        <f t="shared" si="34"/>
        <v>9.92</v>
      </c>
      <c r="I216" s="37">
        <v>220.202</v>
      </c>
      <c r="J216" s="37">
        <v>1256.7380000000001</v>
      </c>
      <c r="K216" s="37">
        <v>2378.7579999999998</v>
      </c>
      <c r="L216" s="37">
        <v>56.866</v>
      </c>
      <c r="M216" s="37">
        <v>-110.70399999999999</v>
      </c>
      <c r="N216" s="39">
        <f t="shared" si="35"/>
        <v>-44.875999999999991</v>
      </c>
      <c r="O216" s="37">
        <v>-65.828000000000003</v>
      </c>
      <c r="P216" s="40">
        <v>0</v>
      </c>
      <c r="Q216" s="40">
        <v>0</v>
      </c>
      <c r="R216" s="41">
        <f t="shared" si="36"/>
        <v>0</v>
      </c>
      <c r="S216" s="42">
        <v>1543</v>
      </c>
    </row>
    <row r="217" spans="2:19" ht="15.75" x14ac:dyDescent="0.25">
      <c r="B217" s="55">
        <f t="shared" si="37"/>
        <v>29</v>
      </c>
      <c r="C217" s="55" t="s">
        <v>355</v>
      </c>
      <c r="D217" s="35" t="s">
        <v>356</v>
      </c>
      <c r="E217" s="36">
        <v>42551</v>
      </c>
      <c r="F217" s="37">
        <v>180.73699999999999</v>
      </c>
      <c r="G217" s="38">
        <v>10</v>
      </c>
      <c r="H217" s="39">
        <f t="shared" si="34"/>
        <v>18.073699999999999</v>
      </c>
      <c r="I217" s="37">
        <v>9418.0349999999999</v>
      </c>
      <c r="J217" s="37">
        <v>16782.495999999999</v>
      </c>
      <c r="K217" s="37">
        <v>18103.776999999998</v>
      </c>
      <c r="L217" s="37">
        <v>251.85400000000001</v>
      </c>
      <c r="M217" s="37">
        <v>268.89299999999997</v>
      </c>
      <c r="N217" s="39">
        <f t="shared" si="35"/>
        <v>177.02199999999999</v>
      </c>
      <c r="O217" s="37">
        <v>91.870999999999995</v>
      </c>
      <c r="P217" s="40">
        <f>50</f>
        <v>50</v>
      </c>
      <c r="Q217" s="40">
        <v>0</v>
      </c>
      <c r="R217" s="41">
        <f t="shared" si="36"/>
        <v>50</v>
      </c>
      <c r="S217" s="42">
        <v>1446</v>
      </c>
    </row>
    <row r="218" spans="2:19" ht="15.75" x14ac:dyDescent="0.25">
      <c r="B218" s="55">
        <f t="shared" si="37"/>
        <v>30</v>
      </c>
      <c r="C218" s="55" t="s">
        <v>357</v>
      </c>
      <c r="D218" s="35" t="s">
        <v>358</v>
      </c>
      <c r="E218" s="36">
        <v>42551</v>
      </c>
      <c r="F218" s="37">
        <v>5</v>
      </c>
      <c r="G218" s="38">
        <v>10</v>
      </c>
      <c r="H218" s="39">
        <f t="shared" si="34"/>
        <v>0.5</v>
      </c>
      <c r="I218" s="37">
        <v>1050.8390159999999</v>
      </c>
      <c r="J218" s="37">
        <v>6413.8160099999996</v>
      </c>
      <c r="K218" s="37">
        <v>4247.9580969999997</v>
      </c>
      <c r="L218" s="37">
        <v>305.71203500000001</v>
      </c>
      <c r="M218" s="37">
        <v>-384.56819200000001</v>
      </c>
      <c r="N218" s="39">
        <f t="shared" si="35"/>
        <v>-166.57804000000002</v>
      </c>
      <c r="O218" s="37">
        <v>-217.99015199999999</v>
      </c>
      <c r="P218" s="40">
        <v>0</v>
      </c>
      <c r="Q218" s="40">
        <v>0</v>
      </c>
      <c r="R218" s="41">
        <f t="shared" si="36"/>
        <v>0</v>
      </c>
      <c r="S218" s="42">
        <v>422</v>
      </c>
    </row>
    <row r="219" spans="2:19" ht="15.75" x14ac:dyDescent="0.25">
      <c r="B219" s="55">
        <f t="shared" si="37"/>
        <v>31</v>
      </c>
      <c r="C219" s="55" t="s">
        <v>359</v>
      </c>
      <c r="D219" s="47" t="s">
        <v>360</v>
      </c>
      <c r="E219" s="36">
        <v>42551</v>
      </c>
      <c r="F219" s="71">
        <v>126.0116</v>
      </c>
      <c r="G219" s="72">
        <v>10</v>
      </c>
      <c r="H219" s="73">
        <f t="shared" si="34"/>
        <v>12.60116</v>
      </c>
      <c r="I219" s="71">
        <v>-131.91559699999999</v>
      </c>
      <c r="J219" s="71">
        <v>488.95405799999997</v>
      </c>
      <c r="K219" s="71">
        <v>211.70236399999999</v>
      </c>
      <c r="L219" s="71">
        <v>2.2079000000000001E-2</v>
      </c>
      <c r="M219" s="71">
        <v>-34.932116999999998</v>
      </c>
      <c r="N219" s="73">
        <f t="shared" si="35"/>
        <v>7.4830469999999991</v>
      </c>
      <c r="O219" s="71">
        <v>-42.415163999999997</v>
      </c>
      <c r="P219" s="74">
        <v>0</v>
      </c>
      <c r="Q219" s="74">
        <v>0</v>
      </c>
      <c r="R219" s="75">
        <f t="shared" si="36"/>
        <v>0</v>
      </c>
      <c r="S219" s="76">
        <v>1689</v>
      </c>
    </row>
    <row r="220" spans="2:19" ht="15.75" x14ac:dyDescent="0.25">
      <c r="B220" s="55">
        <f t="shared" si="37"/>
        <v>32</v>
      </c>
      <c r="C220" s="55" t="s">
        <v>361</v>
      </c>
      <c r="D220" s="35" t="s">
        <v>362</v>
      </c>
      <c r="E220" s="36">
        <v>42551</v>
      </c>
      <c r="F220" s="37">
        <v>47.847999999999999</v>
      </c>
      <c r="G220" s="38">
        <v>10</v>
      </c>
      <c r="H220" s="39">
        <f t="shared" si="34"/>
        <v>4.7847999999999997</v>
      </c>
      <c r="I220" s="37">
        <v>1052.7909999999999</v>
      </c>
      <c r="J220" s="37">
        <v>4179.0309999999999</v>
      </c>
      <c r="K220" s="37">
        <v>2497.962</v>
      </c>
      <c r="L220" s="37">
        <v>47.72</v>
      </c>
      <c r="M220" s="37">
        <v>14.114000000000001</v>
      </c>
      <c r="N220" s="39">
        <f t="shared" si="35"/>
        <v>1.2200000000000006</v>
      </c>
      <c r="O220" s="37">
        <v>12.894</v>
      </c>
      <c r="P220" s="40">
        <f>12.5</f>
        <v>12.5</v>
      </c>
      <c r="Q220" s="40">
        <v>0</v>
      </c>
      <c r="R220" s="41">
        <f t="shared" si="36"/>
        <v>12.5</v>
      </c>
      <c r="S220" s="42">
        <v>1079</v>
      </c>
    </row>
    <row r="221" spans="2:19" ht="15.75" x14ac:dyDescent="0.25">
      <c r="B221" s="55">
        <f t="shared" si="37"/>
        <v>33</v>
      </c>
      <c r="C221" s="55" t="s">
        <v>363</v>
      </c>
      <c r="D221" s="35" t="s">
        <v>364</v>
      </c>
      <c r="E221" s="36">
        <v>42551</v>
      </c>
      <c r="F221" s="37">
        <v>609.03300000000002</v>
      </c>
      <c r="G221" s="38">
        <v>10</v>
      </c>
      <c r="H221" s="39">
        <f t="shared" si="34"/>
        <v>60.903300000000002</v>
      </c>
      <c r="I221" s="37">
        <v>2853.4639999999999</v>
      </c>
      <c r="J221" s="37">
        <v>5659.7950000000001</v>
      </c>
      <c r="K221" s="37">
        <v>8289.1470000000008</v>
      </c>
      <c r="L221" s="37">
        <v>96.483999999999995</v>
      </c>
      <c r="M221" s="37">
        <v>86.772000000000006</v>
      </c>
      <c r="N221" s="39">
        <f t="shared" si="35"/>
        <v>11.02600000000001</v>
      </c>
      <c r="O221" s="37">
        <v>75.745999999999995</v>
      </c>
      <c r="P221" s="40">
        <v>5</v>
      </c>
      <c r="Q221" s="40">
        <v>0</v>
      </c>
      <c r="R221" s="41">
        <f t="shared" si="36"/>
        <v>5</v>
      </c>
      <c r="S221" s="42">
        <v>263</v>
      </c>
    </row>
    <row r="222" spans="2:19" ht="15.75" x14ac:dyDescent="0.25">
      <c r="B222" s="55">
        <f t="shared" si="37"/>
        <v>34</v>
      </c>
      <c r="C222" s="55" t="s">
        <v>365</v>
      </c>
      <c r="D222" s="47" t="s">
        <v>366</v>
      </c>
      <c r="E222" s="36">
        <v>42551</v>
      </c>
      <c r="F222" s="71">
        <v>208</v>
      </c>
      <c r="G222" s="72">
        <v>10</v>
      </c>
      <c r="H222" s="73">
        <f t="shared" si="34"/>
        <v>20.8</v>
      </c>
      <c r="I222" s="71">
        <v>341.31799999999998</v>
      </c>
      <c r="J222" s="71">
        <v>1973.597</v>
      </c>
      <c r="K222" s="71">
        <v>2227.64</v>
      </c>
      <c r="L222" s="71">
        <v>69.051000000000002</v>
      </c>
      <c r="M222" s="71">
        <v>-17.721</v>
      </c>
      <c r="N222" s="73">
        <f t="shared" si="35"/>
        <v>1.7059999999999995</v>
      </c>
      <c r="O222" s="71">
        <v>-19.427</v>
      </c>
      <c r="P222" s="74">
        <v>0</v>
      </c>
      <c r="Q222" s="74">
        <v>0</v>
      </c>
      <c r="R222" s="75">
        <f t="shared" si="36"/>
        <v>0</v>
      </c>
      <c r="S222" s="76">
        <v>895</v>
      </c>
    </row>
    <row r="223" spans="2:19" ht="15.75" x14ac:dyDescent="0.25">
      <c r="B223" s="55">
        <f t="shared" si="37"/>
        <v>35</v>
      </c>
      <c r="C223" s="55" t="s">
        <v>367</v>
      </c>
      <c r="D223" s="35" t="s">
        <v>368</v>
      </c>
      <c r="E223" s="36">
        <v>42551</v>
      </c>
      <c r="F223" s="37">
        <v>650</v>
      </c>
      <c r="G223" s="38">
        <v>5</v>
      </c>
      <c r="H223" s="39">
        <f t="shared" si="34"/>
        <v>130</v>
      </c>
      <c r="I223" s="37">
        <v>389.74978199999998</v>
      </c>
      <c r="J223" s="37">
        <v>3468.8656599999999</v>
      </c>
      <c r="K223" s="37">
        <v>4139.2975100000003</v>
      </c>
      <c r="L223" s="37">
        <v>207.80950000000001</v>
      </c>
      <c r="M223" s="37">
        <v>-424.63170300000002</v>
      </c>
      <c r="N223" s="39">
        <f t="shared" si="35"/>
        <v>41.392974999999979</v>
      </c>
      <c r="O223" s="37">
        <v>-466.02467799999999</v>
      </c>
      <c r="P223" s="40">
        <v>0</v>
      </c>
      <c r="Q223" s="40">
        <v>0</v>
      </c>
      <c r="R223" s="41">
        <f t="shared" si="36"/>
        <v>0</v>
      </c>
      <c r="S223" s="42">
        <v>828</v>
      </c>
    </row>
    <row r="224" spans="2:19" ht="15.75" x14ac:dyDescent="0.25">
      <c r="B224" s="55">
        <f t="shared" si="37"/>
        <v>36</v>
      </c>
      <c r="C224" s="55" t="s">
        <v>369</v>
      </c>
      <c r="D224" s="35" t="s">
        <v>370</v>
      </c>
      <c r="E224" s="36">
        <v>42551</v>
      </c>
      <c r="F224" s="37">
        <v>107</v>
      </c>
      <c r="G224" s="38">
        <v>10</v>
      </c>
      <c r="H224" s="39">
        <f t="shared" si="34"/>
        <v>10.7</v>
      </c>
      <c r="I224" s="37">
        <v>-223.57836499999999</v>
      </c>
      <c r="J224" s="37">
        <v>534.68264399999998</v>
      </c>
      <c r="K224" s="37">
        <v>17.436862999999999</v>
      </c>
      <c r="L224" s="37">
        <v>3.0119999999999999E-3</v>
      </c>
      <c r="M224" s="37">
        <v>-43.294510000000002</v>
      </c>
      <c r="N224" s="39">
        <f t="shared" si="35"/>
        <v>6.6524649999999994</v>
      </c>
      <c r="O224" s="37">
        <v>-49.946975000000002</v>
      </c>
      <c r="P224" s="40">
        <v>0</v>
      </c>
      <c r="Q224" s="40">
        <v>0</v>
      </c>
      <c r="R224" s="41">
        <f t="shared" si="36"/>
        <v>0</v>
      </c>
      <c r="S224" s="42">
        <v>1282</v>
      </c>
    </row>
    <row r="225" spans="2:19" ht="15.75" x14ac:dyDescent="0.25">
      <c r="B225" s="55">
        <f t="shared" si="37"/>
        <v>37</v>
      </c>
      <c r="C225" s="55" t="s">
        <v>371</v>
      </c>
      <c r="D225" s="35" t="s">
        <v>372</v>
      </c>
      <c r="E225" s="36">
        <v>42551</v>
      </c>
      <c r="F225" s="37">
        <v>121.23699999999999</v>
      </c>
      <c r="G225" s="38">
        <v>10</v>
      </c>
      <c r="H225" s="39">
        <f t="shared" si="34"/>
        <v>12.123699999999999</v>
      </c>
      <c r="I225" s="37">
        <v>-21.050386</v>
      </c>
      <c r="J225" s="37">
        <v>218.659659</v>
      </c>
      <c r="K225" s="37">
        <v>0</v>
      </c>
      <c r="L225" s="37">
        <v>12.756747000000001</v>
      </c>
      <c r="M225" s="37">
        <v>-37.275312</v>
      </c>
      <c r="N225" s="39">
        <f t="shared" si="35"/>
        <v>-3.0099579999999975</v>
      </c>
      <c r="O225" s="37">
        <v>-34.265354000000002</v>
      </c>
      <c r="P225" s="40">
        <v>0</v>
      </c>
      <c r="Q225" s="40">
        <v>0</v>
      </c>
      <c r="R225" s="41">
        <f t="shared" si="36"/>
        <v>0</v>
      </c>
      <c r="S225" s="42">
        <v>533</v>
      </c>
    </row>
    <row r="226" spans="2:19" ht="15.75" x14ac:dyDescent="0.25">
      <c r="B226" s="55">
        <f t="shared" si="37"/>
        <v>38</v>
      </c>
      <c r="C226" s="55" t="s">
        <v>373</v>
      </c>
      <c r="D226" s="35" t="s">
        <v>374</v>
      </c>
      <c r="E226" s="36">
        <v>42551</v>
      </c>
      <c r="F226" s="37">
        <v>168</v>
      </c>
      <c r="G226" s="38">
        <v>10</v>
      </c>
      <c r="H226" s="39">
        <f t="shared" si="34"/>
        <v>16.8</v>
      </c>
      <c r="I226" s="37">
        <v>462.78763199999997</v>
      </c>
      <c r="J226" s="37">
        <v>3160.975825</v>
      </c>
      <c r="K226" s="37">
        <v>4280.5898289999996</v>
      </c>
      <c r="L226" s="37">
        <v>96.357624999999999</v>
      </c>
      <c r="M226" s="37">
        <v>-31.343240000000002</v>
      </c>
      <c r="N226" s="39">
        <f t="shared" si="35"/>
        <v>29.024495999999999</v>
      </c>
      <c r="O226" s="37">
        <v>-60.367736000000001</v>
      </c>
      <c r="P226" s="40">
        <v>0</v>
      </c>
      <c r="Q226" s="40">
        <v>0</v>
      </c>
      <c r="R226" s="41">
        <f t="shared" si="36"/>
        <v>0</v>
      </c>
      <c r="S226" s="42">
        <v>695</v>
      </c>
    </row>
    <row r="227" spans="2:19" ht="15.75" x14ac:dyDescent="0.25">
      <c r="B227" s="55">
        <f t="shared" si="37"/>
        <v>39</v>
      </c>
      <c r="C227" s="55" t="s">
        <v>375</v>
      </c>
      <c r="D227" s="35" t="s">
        <v>376</v>
      </c>
      <c r="E227" s="36">
        <v>42551</v>
      </c>
      <c r="F227" s="37">
        <v>187</v>
      </c>
      <c r="G227" s="38">
        <v>10</v>
      </c>
      <c r="H227" s="39">
        <f t="shared" si="34"/>
        <v>18.7</v>
      </c>
      <c r="I227" s="37">
        <v>1717.734571</v>
      </c>
      <c r="J227" s="37">
        <v>3057.4054030000002</v>
      </c>
      <c r="K227" s="37">
        <v>4267.8688249999996</v>
      </c>
      <c r="L227" s="37">
        <v>66.397255999999999</v>
      </c>
      <c r="M227" s="37">
        <v>-64.421779999999998</v>
      </c>
      <c r="N227" s="39">
        <f t="shared" si="35"/>
        <v>28.523187000000007</v>
      </c>
      <c r="O227" s="37">
        <v>-92.944967000000005</v>
      </c>
      <c r="P227" s="40">
        <f>10</f>
        <v>10</v>
      </c>
      <c r="Q227" s="40">
        <v>0</v>
      </c>
      <c r="R227" s="41">
        <f t="shared" si="36"/>
        <v>10</v>
      </c>
      <c r="S227" s="42">
        <v>961</v>
      </c>
    </row>
    <row r="228" spans="2:19" ht="15.75" x14ac:dyDescent="0.25">
      <c r="B228" s="55">
        <f t="shared" si="37"/>
        <v>40</v>
      </c>
      <c r="C228" s="55" t="s">
        <v>377</v>
      </c>
      <c r="D228" s="35" t="s">
        <v>378</v>
      </c>
      <c r="E228" s="36">
        <v>42551</v>
      </c>
      <c r="F228" s="37">
        <v>156.19499999999999</v>
      </c>
      <c r="G228" s="38">
        <v>10</v>
      </c>
      <c r="H228" s="39">
        <f t="shared" si="34"/>
        <v>15.619499999999999</v>
      </c>
      <c r="I228" s="37">
        <v>462.73618399999998</v>
      </c>
      <c r="J228" s="37">
        <v>3007.562398</v>
      </c>
      <c r="K228" s="37">
        <v>4800.8510589999996</v>
      </c>
      <c r="L228" s="37">
        <v>105.388963</v>
      </c>
      <c r="M228" s="37">
        <v>-148.48248899999999</v>
      </c>
      <c r="N228" s="39">
        <f t="shared" si="35"/>
        <v>29.74180800000002</v>
      </c>
      <c r="O228" s="37">
        <v>-178.22429700000001</v>
      </c>
      <c r="P228" s="40">
        <v>0</v>
      </c>
      <c r="Q228" s="40">
        <v>0</v>
      </c>
      <c r="R228" s="41">
        <f t="shared" si="36"/>
        <v>0</v>
      </c>
      <c r="S228" s="42">
        <v>44</v>
      </c>
    </row>
    <row r="229" spans="2:19" ht="15.75" x14ac:dyDescent="0.25">
      <c r="B229" s="55">
        <f t="shared" si="37"/>
        <v>41</v>
      </c>
      <c r="C229" s="55" t="s">
        <v>379</v>
      </c>
      <c r="D229" s="35" t="s">
        <v>380</v>
      </c>
      <c r="E229" s="36">
        <v>42551</v>
      </c>
      <c r="F229" s="37">
        <v>230</v>
      </c>
      <c r="G229" s="38">
        <v>10</v>
      </c>
      <c r="H229" s="39">
        <f t="shared" si="34"/>
        <v>23</v>
      </c>
      <c r="I229" s="37">
        <v>-135.93865500000001</v>
      </c>
      <c r="J229" s="37">
        <v>255.18842000000001</v>
      </c>
      <c r="K229" s="37">
        <v>0</v>
      </c>
      <c r="L229" s="37">
        <v>3.0409999999999999E-3</v>
      </c>
      <c r="M229" s="37">
        <v>114.113275</v>
      </c>
      <c r="N229" s="39">
        <f t="shared" si="35"/>
        <v>0</v>
      </c>
      <c r="O229" s="37">
        <v>114.113275</v>
      </c>
      <c r="P229" s="40">
        <v>0</v>
      </c>
      <c r="Q229" s="40">
        <v>0</v>
      </c>
      <c r="R229" s="41">
        <f t="shared" si="36"/>
        <v>0</v>
      </c>
      <c r="S229" s="42">
        <v>726</v>
      </c>
    </row>
    <row r="230" spans="2:19" ht="15.75" x14ac:dyDescent="0.25">
      <c r="B230" s="55">
        <f t="shared" si="37"/>
        <v>42</v>
      </c>
      <c r="C230" s="55" t="s">
        <v>381</v>
      </c>
      <c r="D230" s="35" t="s">
        <v>382</v>
      </c>
      <c r="E230" s="36">
        <v>42551</v>
      </c>
      <c r="F230" s="37">
        <v>147</v>
      </c>
      <c r="G230" s="38">
        <v>10</v>
      </c>
      <c r="H230" s="39">
        <f t="shared" si="34"/>
        <v>14.7</v>
      </c>
      <c r="I230" s="37">
        <v>-164.99561</v>
      </c>
      <c r="J230" s="37">
        <v>1196.408803</v>
      </c>
      <c r="K230" s="37">
        <v>945.03508599999998</v>
      </c>
      <c r="L230" s="37">
        <v>117.35502200000001</v>
      </c>
      <c r="M230" s="37">
        <v>-540.90534600000001</v>
      </c>
      <c r="N230" s="39">
        <f t="shared" si="35"/>
        <v>-97.266559000000029</v>
      </c>
      <c r="O230" s="37">
        <v>-443.63878699999998</v>
      </c>
      <c r="P230" s="40">
        <v>0</v>
      </c>
      <c r="Q230" s="40">
        <v>0</v>
      </c>
      <c r="R230" s="41">
        <f t="shared" si="36"/>
        <v>0</v>
      </c>
      <c r="S230" s="42">
        <v>915</v>
      </c>
    </row>
    <row r="231" spans="2:19" ht="15.75" x14ac:dyDescent="0.25">
      <c r="B231" s="55">
        <f t="shared" si="37"/>
        <v>43</v>
      </c>
      <c r="C231" s="55" t="s">
        <v>383</v>
      </c>
      <c r="D231" s="35" t="s">
        <v>384</v>
      </c>
      <c r="E231" s="36">
        <v>42551</v>
      </c>
      <c r="F231" s="37">
        <v>120</v>
      </c>
      <c r="G231" s="38">
        <v>10</v>
      </c>
      <c r="H231" s="39">
        <f t="shared" si="34"/>
        <v>12</v>
      </c>
      <c r="I231" s="37">
        <v>-1090.9652599999999</v>
      </c>
      <c r="J231" s="37">
        <v>929.33761800000002</v>
      </c>
      <c r="K231" s="37">
        <v>0</v>
      </c>
      <c r="L231" s="37">
        <v>1.584913</v>
      </c>
      <c r="M231" s="37">
        <v>-63.661552</v>
      </c>
      <c r="N231" s="39">
        <f t="shared" si="35"/>
        <v>0.65103000000000577</v>
      </c>
      <c r="O231" s="37">
        <v>-64.312582000000006</v>
      </c>
      <c r="P231" s="40">
        <v>0</v>
      </c>
      <c r="Q231" s="40">
        <v>0</v>
      </c>
      <c r="R231" s="41">
        <f t="shared" si="36"/>
        <v>0</v>
      </c>
      <c r="S231" s="42">
        <v>211</v>
      </c>
    </row>
    <row r="232" spans="2:19" ht="15.75" x14ac:dyDescent="0.25">
      <c r="B232" s="55">
        <f t="shared" si="37"/>
        <v>44</v>
      </c>
      <c r="C232" s="55" t="s">
        <v>385</v>
      </c>
      <c r="D232" s="35" t="s">
        <v>386</v>
      </c>
      <c r="E232" s="36">
        <v>42551</v>
      </c>
      <c r="F232" s="37">
        <v>61.63</v>
      </c>
      <c r="G232" s="38">
        <v>10</v>
      </c>
      <c r="H232" s="39">
        <f t="shared" si="34"/>
        <v>6.1630000000000003</v>
      </c>
      <c r="I232" s="37">
        <v>1445.6530990000001</v>
      </c>
      <c r="J232" s="37">
        <v>3910.6151880000002</v>
      </c>
      <c r="K232" s="37">
        <v>4814.02232</v>
      </c>
      <c r="L232" s="37">
        <v>136.16970800000001</v>
      </c>
      <c r="M232" s="37">
        <v>122.096296</v>
      </c>
      <c r="N232" s="39">
        <f t="shared" si="35"/>
        <v>-16.167302000000007</v>
      </c>
      <c r="O232" s="37">
        <v>138.263598</v>
      </c>
      <c r="P232" s="40">
        <f>100</f>
        <v>100</v>
      </c>
      <c r="Q232" s="40">
        <v>0</v>
      </c>
      <c r="R232" s="41">
        <f t="shared" si="36"/>
        <v>100</v>
      </c>
      <c r="S232" s="42">
        <v>824</v>
      </c>
    </row>
    <row r="233" spans="2:19" ht="15.75" x14ac:dyDescent="0.25">
      <c r="B233" s="55">
        <f t="shared" si="37"/>
        <v>45</v>
      </c>
      <c r="C233" s="55" t="s">
        <v>387</v>
      </c>
      <c r="D233" s="35" t="s">
        <v>388</v>
      </c>
      <c r="E233" s="36">
        <v>42551</v>
      </c>
      <c r="F233" s="37">
        <v>250</v>
      </c>
      <c r="G233" s="38">
        <v>10</v>
      </c>
      <c r="H233" s="39">
        <f t="shared" si="34"/>
        <v>25</v>
      </c>
      <c r="I233" s="37">
        <v>-264.24132500000002</v>
      </c>
      <c r="J233" s="37">
        <v>232.47640000000001</v>
      </c>
      <c r="K233" s="37">
        <v>42.396546999999998</v>
      </c>
      <c r="L233" s="37">
        <v>14.943403</v>
      </c>
      <c r="M233" s="37">
        <v>-50.596400000000003</v>
      </c>
      <c r="N233" s="39">
        <f t="shared" si="35"/>
        <v>-0.26847300000000018</v>
      </c>
      <c r="O233" s="37">
        <v>-50.327927000000003</v>
      </c>
      <c r="P233" s="40">
        <v>0</v>
      </c>
      <c r="Q233" s="40">
        <v>0</v>
      </c>
      <c r="R233" s="41">
        <f t="shared" si="36"/>
        <v>0</v>
      </c>
      <c r="S233" s="42">
        <v>1121</v>
      </c>
    </row>
    <row r="234" spans="2:19" ht="15.75" x14ac:dyDescent="0.25">
      <c r="B234" s="55">
        <f t="shared" si="37"/>
        <v>46</v>
      </c>
      <c r="C234" s="55" t="s">
        <v>389</v>
      </c>
      <c r="D234" s="35" t="s">
        <v>390</v>
      </c>
      <c r="E234" s="36">
        <v>42551</v>
      </c>
      <c r="F234" s="37">
        <v>102.92</v>
      </c>
      <c r="G234" s="38">
        <v>10</v>
      </c>
      <c r="H234" s="39">
        <f t="shared" si="34"/>
        <v>10.292</v>
      </c>
      <c r="I234" s="37">
        <v>1963.242219</v>
      </c>
      <c r="J234" s="37">
        <v>3546.4162919999999</v>
      </c>
      <c r="K234" s="37">
        <v>3221.1466420000002</v>
      </c>
      <c r="L234" s="37">
        <v>110.637339</v>
      </c>
      <c r="M234" s="37">
        <v>170.39916099999999</v>
      </c>
      <c r="N234" s="39">
        <f t="shared" si="35"/>
        <v>48.501808999999994</v>
      </c>
      <c r="O234" s="37">
        <v>121.897352</v>
      </c>
      <c r="P234" s="40">
        <f>50</f>
        <v>50</v>
      </c>
      <c r="Q234" s="40">
        <v>0</v>
      </c>
      <c r="R234" s="41">
        <f t="shared" si="36"/>
        <v>50</v>
      </c>
      <c r="S234" s="42">
        <v>547</v>
      </c>
    </row>
    <row r="235" spans="2:19" ht="15.75" x14ac:dyDescent="0.25">
      <c r="B235" s="55">
        <f t="shared" si="37"/>
        <v>47</v>
      </c>
      <c r="C235" s="55" t="s">
        <v>391</v>
      </c>
      <c r="D235" s="35" t="s">
        <v>392</v>
      </c>
      <c r="E235" s="36">
        <v>42551</v>
      </c>
      <c r="F235" s="37">
        <v>522.14400000000001</v>
      </c>
      <c r="G235" s="38">
        <v>10</v>
      </c>
      <c r="H235" s="39">
        <f t="shared" si="34"/>
        <v>52.214399999999998</v>
      </c>
      <c r="I235" s="37">
        <v>82.323452000000003</v>
      </c>
      <c r="J235" s="37">
        <v>1511.2213830000001</v>
      </c>
      <c r="K235" s="37">
        <v>292.88770499999998</v>
      </c>
      <c r="L235" s="37">
        <v>10.966379999999999</v>
      </c>
      <c r="M235" s="37">
        <v>-157.25026600000001</v>
      </c>
      <c r="N235" s="39">
        <f t="shared" si="35"/>
        <v>18.615969999999976</v>
      </c>
      <c r="O235" s="37">
        <v>-175.86623599999999</v>
      </c>
      <c r="P235" s="40">
        <v>0</v>
      </c>
      <c r="Q235" s="40">
        <v>0</v>
      </c>
      <c r="R235" s="41">
        <f t="shared" si="36"/>
        <v>0</v>
      </c>
      <c r="S235" s="42">
        <v>965</v>
      </c>
    </row>
    <row r="236" spans="2:19" ht="15.75" x14ac:dyDescent="0.25">
      <c r="B236" s="55">
        <f t="shared" si="37"/>
        <v>48</v>
      </c>
      <c r="C236" s="55" t="s">
        <v>393</v>
      </c>
      <c r="D236" s="35" t="s">
        <v>394</v>
      </c>
      <c r="E236" s="36">
        <v>42551</v>
      </c>
      <c r="F236" s="37">
        <v>264.12900000000002</v>
      </c>
      <c r="G236" s="38">
        <v>10</v>
      </c>
      <c r="H236" s="39">
        <f t="shared" si="34"/>
        <v>26.4129</v>
      </c>
      <c r="I236" s="37">
        <v>1520.529</v>
      </c>
      <c r="J236" s="37">
        <v>8028.7</v>
      </c>
      <c r="K236" s="37">
        <v>6697.7730000000001</v>
      </c>
      <c r="L236" s="37">
        <v>323.96800000000002</v>
      </c>
      <c r="M236" s="37">
        <v>-45.59</v>
      </c>
      <c r="N236" s="39">
        <f t="shared" si="35"/>
        <v>3.5419999999999945</v>
      </c>
      <c r="O236" s="37">
        <v>-49.131999999999998</v>
      </c>
      <c r="P236" s="40">
        <v>0</v>
      </c>
      <c r="Q236" s="40">
        <v>0</v>
      </c>
      <c r="R236" s="41">
        <f t="shared" si="36"/>
        <v>0</v>
      </c>
      <c r="S236" s="42">
        <v>1449</v>
      </c>
    </row>
    <row r="237" spans="2:19" ht="15.75" x14ac:dyDescent="0.25">
      <c r="B237" s="55">
        <f t="shared" si="37"/>
        <v>49</v>
      </c>
      <c r="C237" s="55" t="s">
        <v>395</v>
      </c>
      <c r="D237" s="35" t="s">
        <v>396</v>
      </c>
      <c r="E237" s="36">
        <v>42551</v>
      </c>
      <c r="F237" s="37">
        <v>33.425699999999999</v>
      </c>
      <c r="G237" s="38">
        <v>10</v>
      </c>
      <c r="H237" s="39">
        <f t="shared" si="34"/>
        <v>3.3425699999999998</v>
      </c>
      <c r="I237" s="37">
        <v>610.13555799999995</v>
      </c>
      <c r="J237" s="37">
        <v>4974.357927</v>
      </c>
      <c r="K237" s="37">
        <v>4975.5828769999998</v>
      </c>
      <c r="L237" s="37">
        <v>168.991512</v>
      </c>
      <c r="M237" s="37">
        <v>-379.80856599999998</v>
      </c>
      <c r="N237" s="39">
        <f t="shared" si="35"/>
        <v>4.4158080000000268</v>
      </c>
      <c r="O237" s="37">
        <v>-384.22437400000001</v>
      </c>
      <c r="P237" s="40">
        <v>0</v>
      </c>
      <c r="Q237" s="40">
        <v>0</v>
      </c>
      <c r="R237" s="41">
        <f t="shared" si="36"/>
        <v>0</v>
      </c>
      <c r="S237" s="42">
        <v>988</v>
      </c>
    </row>
    <row r="238" spans="2:19" ht="15.75" x14ac:dyDescent="0.25">
      <c r="B238" s="55">
        <f t="shared" si="37"/>
        <v>50</v>
      </c>
      <c r="C238" s="55" t="s">
        <v>397</v>
      </c>
      <c r="D238" s="35" t="s">
        <v>398</v>
      </c>
      <c r="E238" s="36">
        <v>42551</v>
      </c>
      <c r="F238" s="37">
        <v>44.670360000000002</v>
      </c>
      <c r="G238" s="38">
        <v>10</v>
      </c>
      <c r="H238" s="39">
        <f t="shared" si="34"/>
        <v>4.4670360000000002</v>
      </c>
      <c r="I238" s="37">
        <v>-318.84158200000002</v>
      </c>
      <c r="J238" s="37">
        <v>1173.76738</v>
      </c>
      <c r="K238" s="37">
        <v>1129.8207669999999</v>
      </c>
      <c r="L238" s="37">
        <v>48.143971000000001</v>
      </c>
      <c r="M238" s="37">
        <v>-245.28674000000001</v>
      </c>
      <c r="N238" s="39">
        <f t="shared" si="35"/>
        <v>-61.810085000000015</v>
      </c>
      <c r="O238" s="37">
        <v>-183.47665499999999</v>
      </c>
      <c r="P238" s="40">
        <v>0</v>
      </c>
      <c r="Q238" s="40">
        <v>0</v>
      </c>
      <c r="R238" s="41">
        <f t="shared" si="36"/>
        <v>0</v>
      </c>
      <c r="S238" s="42">
        <v>750</v>
      </c>
    </row>
    <row r="239" spans="2:19" ht="15.75" x14ac:dyDescent="0.25">
      <c r="B239" s="55">
        <f t="shared" si="37"/>
        <v>51</v>
      </c>
      <c r="C239" s="55" t="s">
        <v>399</v>
      </c>
      <c r="D239" s="35" t="s">
        <v>400</v>
      </c>
      <c r="E239" s="36">
        <v>42551</v>
      </c>
      <c r="F239" s="37">
        <v>44.491590000000002</v>
      </c>
      <c r="G239" s="38">
        <v>10</v>
      </c>
      <c r="H239" s="39">
        <f t="shared" si="34"/>
        <v>4.4491589999999999</v>
      </c>
      <c r="I239" s="37">
        <v>-24.914536999999999</v>
      </c>
      <c r="J239" s="37">
        <v>610.42090800000005</v>
      </c>
      <c r="K239" s="37">
        <v>483.00635699999998</v>
      </c>
      <c r="L239" s="37">
        <v>8.7393800000000006</v>
      </c>
      <c r="M239" s="37">
        <v>-18.025499</v>
      </c>
      <c r="N239" s="39">
        <f t="shared" si="35"/>
        <v>4.737482</v>
      </c>
      <c r="O239" s="37">
        <v>-22.762981</v>
      </c>
      <c r="P239" s="40">
        <v>0</v>
      </c>
      <c r="Q239" s="40">
        <v>0</v>
      </c>
      <c r="R239" s="41">
        <f t="shared" si="36"/>
        <v>0</v>
      </c>
      <c r="S239" s="42">
        <v>1223</v>
      </c>
    </row>
    <row r="240" spans="2:19" ht="15.75" x14ac:dyDescent="0.25">
      <c r="B240" s="55">
        <f t="shared" si="37"/>
        <v>52</v>
      </c>
      <c r="C240" s="55" t="s">
        <v>401</v>
      </c>
      <c r="D240" s="35" t="s">
        <v>402</v>
      </c>
      <c r="E240" s="36">
        <v>42551</v>
      </c>
      <c r="F240" s="37">
        <v>176.36718999999999</v>
      </c>
      <c r="G240" s="38">
        <v>10</v>
      </c>
      <c r="H240" s="39">
        <f t="shared" si="34"/>
        <v>17.636718999999999</v>
      </c>
      <c r="I240" s="37">
        <v>-87.723933000000002</v>
      </c>
      <c r="J240" s="37">
        <v>1731.8008609999999</v>
      </c>
      <c r="K240" s="37">
        <v>709.83857999999998</v>
      </c>
      <c r="L240" s="37">
        <v>0.36907800000000002</v>
      </c>
      <c r="M240" s="37">
        <v>-175.816394</v>
      </c>
      <c r="N240" s="39">
        <f t="shared" si="35"/>
        <v>-36.088729999999998</v>
      </c>
      <c r="O240" s="37">
        <v>-139.727664</v>
      </c>
      <c r="P240" s="40">
        <v>0</v>
      </c>
      <c r="Q240" s="40">
        <v>0</v>
      </c>
      <c r="R240" s="41">
        <f t="shared" si="36"/>
        <v>0</v>
      </c>
      <c r="S240" s="42">
        <v>1213</v>
      </c>
    </row>
    <row r="241" spans="2:19" ht="15.75" x14ac:dyDescent="0.25">
      <c r="B241" s="55">
        <f t="shared" si="37"/>
        <v>53</v>
      </c>
      <c r="C241" s="55" t="s">
        <v>403</v>
      </c>
      <c r="D241" s="35" t="s">
        <v>404</v>
      </c>
      <c r="E241" s="36">
        <v>42551</v>
      </c>
      <c r="F241" s="37">
        <v>30</v>
      </c>
      <c r="G241" s="38">
        <v>10</v>
      </c>
      <c r="H241" s="39">
        <f t="shared" si="34"/>
        <v>3</v>
      </c>
      <c r="I241" s="37">
        <v>393.327</v>
      </c>
      <c r="J241" s="37">
        <v>717.23699999999997</v>
      </c>
      <c r="K241" s="37">
        <v>1861.576</v>
      </c>
      <c r="L241" s="37">
        <v>13.414</v>
      </c>
      <c r="M241" s="37">
        <v>42.569000000000003</v>
      </c>
      <c r="N241" s="39">
        <f t="shared" si="35"/>
        <v>9.7620000000000005</v>
      </c>
      <c r="O241" s="37">
        <v>32.807000000000002</v>
      </c>
      <c r="P241" s="40">
        <f>43.74</f>
        <v>43.74</v>
      </c>
      <c r="Q241" s="40">
        <v>0</v>
      </c>
      <c r="R241" s="41">
        <f t="shared" si="36"/>
        <v>43.74</v>
      </c>
      <c r="S241" s="42">
        <v>232</v>
      </c>
    </row>
    <row r="242" spans="2:19" ht="15.75" x14ac:dyDescent="0.25">
      <c r="B242" s="55">
        <f t="shared" si="37"/>
        <v>54</v>
      </c>
      <c r="C242" s="55" t="s">
        <v>405</v>
      </c>
      <c r="D242" s="35" t="s">
        <v>406</v>
      </c>
      <c r="E242" s="36">
        <v>42551</v>
      </c>
      <c r="F242" s="37">
        <v>212.678</v>
      </c>
      <c r="G242" s="38">
        <v>10</v>
      </c>
      <c r="H242" s="39">
        <f t="shared" si="34"/>
        <v>21.267800000000001</v>
      </c>
      <c r="I242" s="37">
        <v>-214.01050799999999</v>
      </c>
      <c r="J242" s="37">
        <v>447.20345600000002</v>
      </c>
      <c r="K242" s="37">
        <v>793.08746900000006</v>
      </c>
      <c r="L242" s="37">
        <v>6.715706</v>
      </c>
      <c r="M242" s="37">
        <v>-275.13722300000001</v>
      </c>
      <c r="N242" s="39">
        <f t="shared" si="35"/>
        <v>6.9662639999999669</v>
      </c>
      <c r="O242" s="37">
        <v>-282.10348699999997</v>
      </c>
      <c r="P242" s="40">
        <v>0</v>
      </c>
      <c r="Q242" s="40">
        <v>0</v>
      </c>
      <c r="R242" s="41">
        <f t="shared" si="36"/>
        <v>0</v>
      </c>
      <c r="S242" s="42">
        <v>488</v>
      </c>
    </row>
    <row r="243" spans="2:19" ht="15.75" x14ac:dyDescent="0.25">
      <c r="B243" s="55">
        <f t="shared" si="37"/>
        <v>55</v>
      </c>
      <c r="C243" s="55" t="s">
        <v>407</v>
      </c>
      <c r="D243" s="35" t="s">
        <v>408</v>
      </c>
      <c r="E243" s="36">
        <v>42551</v>
      </c>
      <c r="F243" s="37">
        <v>87.75</v>
      </c>
      <c r="G243" s="38">
        <v>10</v>
      </c>
      <c r="H243" s="39">
        <f t="shared" si="34"/>
        <v>8.7750000000000004</v>
      </c>
      <c r="I243" s="37">
        <v>-91.036030999999994</v>
      </c>
      <c r="J243" s="37">
        <v>2256.800823</v>
      </c>
      <c r="K243" s="37">
        <v>2192.217474</v>
      </c>
      <c r="L243" s="37">
        <v>93.609915999999998</v>
      </c>
      <c r="M243" s="37">
        <v>-208.75126399999999</v>
      </c>
      <c r="N243" s="39">
        <f t="shared" si="35"/>
        <v>34.376338000000004</v>
      </c>
      <c r="O243" s="37">
        <v>-243.127602</v>
      </c>
      <c r="P243" s="40">
        <v>0</v>
      </c>
      <c r="Q243" s="40">
        <v>0</v>
      </c>
      <c r="R243" s="41">
        <f t="shared" si="36"/>
        <v>0</v>
      </c>
      <c r="S243" s="42">
        <v>1559</v>
      </c>
    </row>
    <row r="244" spans="2:19" ht="15.75" x14ac:dyDescent="0.25">
      <c r="B244" s="55">
        <f t="shared" si="37"/>
        <v>56</v>
      </c>
      <c r="C244" s="55" t="s">
        <v>409</v>
      </c>
      <c r="D244" s="35" t="s">
        <v>410</v>
      </c>
      <c r="E244" s="36">
        <v>42551</v>
      </c>
      <c r="F244" s="37">
        <v>85.9375</v>
      </c>
      <c r="G244" s="38">
        <v>10</v>
      </c>
      <c r="H244" s="39">
        <f t="shared" si="34"/>
        <v>8.59375</v>
      </c>
      <c r="I244" s="37">
        <v>357.97552300000001</v>
      </c>
      <c r="J244" s="37">
        <v>1092.785764</v>
      </c>
      <c r="K244" s="37">
        <v>1791.1176620000001</v>
      </c>
      <c r="L244" s="37">
        <v>40.341388000000002</v>
      </c>
      <c r="M244" s="37">
        <v>83.590534000000005</v>
      </c>
      <c r="N244" s="39">
        <f t="shared" si="35"/>
        <v>18.821206000000004</v>
      </c>
      <c r="O244" s="37">
        <v>64.769328000000002</v>
      </c>
      <c r="P244" s="40">
        <f>35</f>
        <v>35</v>
      </c>
      <c r="Q244" s="40">
        <v>0</v>
      </c>
      <c r="R244" s="41">
        <f t="shared" si="36"/>
        <v>35</v>
      </c>
      <c r="S244" s="42">
        <v>547</v>
      </c>
    </row>
    <row r="245" spans="2:19" ht="15.75" x14ac:dyDescent="0.25">
      <c r="B245" s="55">
        <f t="shared" si="37"/>
        <v>57</v>
      </c>
      <c r="C245" s="55" t="s">
        <v>411</v>
      </c>
      <c r="D245" s="35" t="s">
        <v>412</v>
      </c>
      <c r="E245" s="36">
        <v>42551</v>
      </c>
      <c r="F245" s="37">
        <v>312</v>
      </c>
      <c r="G245" s="38">
        <v>10</v>
      </c>
      <c r="H245" s="39">
        <f t="shared" si="34"/>
        <v>31.2</v>
      </c>
      <c r="I245" s="37">
        <v>-103.309</v>
      </c>
      <c r="J245" s="37">
        <v>1211.7059999999999</v>
      </c>
      <c r="K245" s="37">
        <v>142.49199999999999</v>
      </c>
      <c r="L245" s="37">
        <v>30.045999999999999</v>
      </c>
      <c r="M245" s="37">
        <v>-96.159000000000006</v>
      </c>
      <c r="N245" s="39">
        <f t="shared" si="35"/>
        <v>-37.218000000000004</v>
      </c>
      <c r="O245" s="37">
        <v>-58.941000000000003</v>
      </c>
      <c r="P245" s="40">
        <v>0</v>
      </c>
      <c r="Q245" s="40">
        <v>0</v>
      </c>
      <c r="R245" s="41">
        <f t="shared" si="36"/>
        <v>0</v>
      </c>
      <c r="S245" s="42">
        <v>2574</v>
      </c>
    </row>
    <row r="246" spans="2:19" ht="15.75" x14ac:dyDescent="0.25">
      <c r="B246" s="55">
        <f t="shared" si="37"/>
        <v>58</v>
      </c>
      <c r="C246" s="55" t="s">
        <v>413</v>
      </c>
      <c r="D246" s="35" t="s">
        <v>414</v>
      </c>
      <c r="E246" s="36">
        <v>42551</v>
      </c>
      <c r="F246" s="37">
        <v>298.40607</v>
      </c>
      <c r="G246" s="38">
        <v>10</v>
      </c>
      <c r="H246" s="39">
        <f t="shared" si="34"/>
        <v>29.840606999999999</v>
      </c>
      <c r="I246" s="37">
        <v>516.96049600000003</v>
      </c>
      <c r="J246" s="37">
        <v>2061.8056069999998</v>
      </c>
      <c r="K246" s="37">
        <v>2470.3871789999998</v>
      </c>
      <c r="L246" s="37">
        <v>69.943791000000004</v>
      </c>
      <c r="M246" s="37">
        <v>-88.436207999999993</v>
      </c>
      <c r="N246" s="39">
        <f t="shared" si="35"/>
        <v>-22.280232999999996</v>
      </c>
      <c r="O246" s="37">
        <v>-66.155974999999998</v>
      </c>
      <c r="P246" s="40">
        <v>0</v>
      </c>
      <c r="Q246" s="40">
        <v>0</v>
      </c>
      <c r="R246" s="41">
        <f t="shared" si="36"/>
        <v>0</v>
      </c>
      <c r="S246" s="42">
        <v>1267</v>
      </c>
    </row>
    <row r="247" spans="2:19" ht="15.75" x14ac:dyDescent="0.25">
      <c r="B247" s="55">
        <f t="shared" si="37"/>
        <v>59</v>
      </c>
      <c r="C247" s="55" t="s">
        <v>415</v>
      </c>
      <c r="D247" s="35" t="s">
        <v>416</v>
      </c>
      <c r="E247" s="36">
        <v>42551</v>
      </c>
      <c r="F247" s="37">
        <v>69</v>
      </c>
      <c r="G247" s="38">
        <v>10</v>
      </c>
      <c r="H247" s="39">
        <f t="shared" si="34"/>
        <v>6.9</v>
      </c>
      <c r="I247" s="37">
        <v>2049.5770659999998</v>
      </c>
      <c r="J247" s="37">
        <v>3456.1809539999999</v>
      </c>
      <c r="K247" s="37">
        <v>3858.477421</v>
      </c>
      <c r="L247" s="37">
        <v>11.952553999999999</v>
      </c>
      <c r="M247" s="37">
        <v>77.444806999999997</v>
      </c>
      <c r="N247" s="39">
        <f t="shared" si="35"/>
        <v>39.689473999999997</v>
      </c>
      <c r="O247" s="37">
        <v>37.755333</v>
      </c>
      <c r="P247" s="40">
        <f>50</f>
        <v>50</v>
      </c>
      <c r="Q247" s="40">
        <v>0</v>
      </c>
      <c r="R247" s="41">
        <f t="shared" si="36"/>
        <v>50</v>
      </c>
      <c r="S247" s="42">
        <v>1807</v>
      </c>
    </row>
    <row r="248" spans="2:19" ht="15.75" x14ac:dyDescent="0.25">
      <c r="B248" s="55">
        <f t="shared" si="37"/>
        <v>60</v>
      </c>
      <c r="C248" s="55" t="s">
        <v>417</v>
      </c>
      <c r="D248" s="35" t="s">
        <v>418</v>
      </c>
      <c r="E248" s="36">
        <v>42551</v>
      </c>
      <c r="F248" s="37">
        <v>179.71372</v>
      </c>
      <c r="G248" s="38">
        <v>10</v>
      </c>
      <c r="H248" s="39">
        <f t="shared" si="34"/>
        <v>17.971371999999999</v>
      </c>
      <c r="I248" s="37">
        <v>1209.0386820000001</v>
      </c>
      <c r="J248" s="37">
        <v>2630.3580510000002</v>
      </c>
      <c r="K248" s="37">
        <v>3692.131574</v>
      </c>
      <c r="L248" s="37">
        <v>32.158127</v>
      </c>
      <c r="M248" s="37">
        <v>21.632394999999999</v>
      </c>
      <c r="N248" s="39">
        <f t="shared" si="35"/>
        <v>34.989497</v>
      </c>
      <c r="O248" s="37">
        <v>-13.357101999999999</v>
      </c>
      <c r="P248" s="40">
        <v>0</v>
      </c>
      <c r="Q248" s="40">
        <v>0</v>
      </c>
      <c r="R248" s="41">
        <f t="shared" si="36"/>
        <v>0</v>
      </c>
      <c r="S248" s="42">
        <v>820</v>
      </c>
    </row>
    <row r="249" spans="2:19" ht="15.75" x14ac:dyDescent="0.25">
      <c r="B249" s="55">
        <f t="shared" si="37"/>
        <v>61</v>
      </c>
      <c r="C249" s="55" t="s">
        <v>419</v>
      </c>
      <c r="D249" s="35" t="s">
        <v>420</v>
      </c>
      <c r="E249" s="36">
        <v>42551</v>
      </c>
      <c r="F249" s="37">
        <v>173.2475</v>
      </c>
      <c r="G249" s="38">
        <v>10</v>
      </c>
      <c r="H249" s="39">
        <f t="shared" si="34"/>
        <v>17.324750000000002</v>
      </c>
      <c r="I249" s="37">
        <v>1460.5100970000001</v>
      </c>
      <c r="J249" s="37">
        <v>4475.030557</v>
      </c>
      <c r="K249" s="37">
        <v>4906.5474080000004</v>
      </c>
      <c r="L249" s="37">
        <v>107.721514</v>
      </c>
      <c r="M249" s="37">
        <v>-160.36544699999999</v>
      </c>
      <c r="N249" s="39">
        <f t="shared" si="35"/>
        <v>34.051524000000001</v>
      </c>
      <c r="O249" s="37">
        <v>-194.41697099999999</v>
      </c>
      <c r="P249" s="40">
        <v>0</v>
      </c>
      <c r="Q249" s="40">
        <v>0</v>
      </c>
      <c r="R249" s="41">
        <f t="shared" si="36"/>
        <v>0</v>
      </c>
      <c r="S249" s="42">
        <v>2074</v>
      </c>
    </row>
    <row r="250" spans="2:19" ht="15.75" x14ac:dyDescent="0.25">
      <c r="B250" s="55">
        <f t="shared" si="37"/>
        <v>62</v>
      </c>
      <c r="C250" s="55" t="s">
        <v>421</v>
      </c>
      <c r="D250" s="35" t="s">
        <v>422</v>
      </c>
      <c r="E250" s="36">
        <v>42551</v>
      </c>
      <c r="F250" s="37">
        <v>40.5</v>
      </c>
      <c r="G250" s="38">
        <v>10</v>
      </c>
      <c r="H250" s="39">
        <f t="shared" si="34"/>
        <v>4.05</v>
      </c>
      <c r="I250" s="37">
        <v>6.7448829999999997</v>
      </c>
      <c r="J250" s="37">
        <v>6.8122829999999999</v>
      </c>
      <c r="K250" s="37">
        <v>0</v>
      </c>
      <c r="L250" s="37">
        <v>2.7899999999999999E-3</v>
      </c>
      <c r="M250" s="37">
        <v>-3.0011040000000002</v>
      </c>
      <c r="N250" s="39">
        <f t="shared" si="35"/>
        <v>0</v>
      </c>
      <c r="O250" s="37">
        <v>-3.0011040000000002</v>
      </c>
      <c r="P250" s="40">
        <v>0</v>
      </c>
      <c r="Q250" s="40">
        <v>0</v>
      </c>
      <c r="R250" s="41">
        <f t="shared" si="36"/>
        <v>0</v>
      </c>
      <c r="S250" s="42">
        <v>244</v>
      </c>
    </row>
    <row r="251" spans="2:19" ht="15.75" x14ac:dyDescent="0.25">
      <c r="B251" s="70"/>
      <c r="C251" s="70"/>
      <c r="D251" s="77"/>
      <c r="E251" s="64"/>
      <c r="F251" s="78"/>
      <c r="G251" s="43"/>
      <c r="H251" s="79"/>
      <c r="I251" s="78"/>
      <c r="J251" s="78"/>
      <c r="K251" s="78"/>
      <c r="L251" s="78"/>
      <c r="M251" s="78"/>
      <c r="N251" s="79"/>
      <c r="O251" s="78"/>
      <c r="P251" s="80"/>
      <c r="Q251" s="80"/>
      <c r="R251" s="81"/>
      <c r="S251" s="82"/>
    </row>
    <row r="252" spans="2:19" ht="18.75" x14ac:dyDescent="0.3">
      <c r="B252" s="29"/>
      <c r="C252" s="29"/>
      <c r="D252" s="57" t="s">
        <v>45</v>
      </c>
      <c r="E252" s="29"/>
      <c r="F252" s="29"/>
      <c r="G252" s="43"/>
      <c r="H252" s="44"/>
      <c r="I252" s="31"/>
      <c r="J252" s="31"/>
      <c r="K252" s="31"/>
      <c r="L252" s="31"/>
      <c r="M252" s="31"/>
      <c r="N252" s="45"/>
      <c r="O252" s="31"/>
      <c r="P252" s="31"/>
      <c r="Q252" s="31"/>
      <c r="R252" s="45"/>
      <c r="S252" s="31"/>
    </row>
    <row r="253" spans="2:19" ht="15.75" x14ac:dyDescent="0.25">
      <c r="B253" s="55">
        <v>1</v>
      </c>
      <c r="C253" s="55" t="s">
        <v>423</v>
      </c>
      <c r="D253" s="35" t="s">
        <v>424</v>
      </c>
      <c r="E253" s="36">
        <v>42551</v>
      </c>
      <c r="F253" s="37">
        <v>222.13346999999999</v>
      </c>
      <c r="G253" s="38">
        <v>5</v>
      </c>
      <c r="H253" s="39">
        <f>+F253/G253</f>
        <v>44.426693999999998</v>
      </c>
      <c r="I253" s="37">
        <v>10.743710999999999</v>
      </c>
      <c r="J253" s="37">
        <v>412.69062300000002</v>
      </c>
      <c r="K253" s="37">
        <v>0</v>
      </c>
      <c r="L253" s="37">
        <v>1.7534999999999999E-2</v>
      </c>
      <c r="M253" s="37">
        <v>-9.7358410000000006</v>
      </c>
      <c r="N253" s="39">
        <f>+M253-O253</f>
        <v>0.85603599999999958</v>
      </c>
      <c r="O253" s="37">
        <v>-10.591877</v>
      </c>
      <c r="P253" s="40">
        <v>0</v>
      </c>
      <c r="Q253" s="40">
        <v>0</v>
      </c>
      <c r="R253" s="41">
        <f>SUM(P253:Q253)</f>
        <v>0</v>
      </c>
      <c r="S253" s="42">
        <v>1094</v>
      </c>
    </row>
    <row r="254" spans="2:19" ht="15.75" x14ac:dyDescent="0.25">
      <c r="B254" s="55">
        <f>+B253+1</f>
        <v>2</v>
      </c>
      <c r="C254" s="55" t="s">
        <v>425</v>
      </c>
      <c r="D254" s="35" t="s">
        <v>426</v>
      </c>
      <c r="E254" s="36">
        <v>42551</v>
      </c>
      <c r="F254" s="37">
        <v>77.257999999999996</v>
      </c>
      <c r="G254" s="38">
        <v>10</v>
      </c>
      <c r="H254" s="39">
        <f>+F254/G254</f>
        <v>7.7257999999999996</v>
      </c>
      <c r="I254" s="37">
        <v>-333.36617799999999</v>
      </c>
      <c r="J254" s="37">
        <v>287.217872</v>
      </c>
      <c r="K254" s="37">
        <v>0</v>
      </c>
      <c r="L254" s="37">
        <v>0</v>
      </c>
      <c r="M254" s="37">
        <v>-27.629549000000001</v>
      </c>
      <c r="N254" s="39">
        <f>+M254-O254</f>
        <v>0</v>
      </c>
      <c r="O254" s="37">
        <v>-27.629549000000001</v>
      </c>
      <c r="P254" s="40">
        <v>0</v>
      </c>
      <c r="Q254" s="40">
        <v>0</v>
      </c>
      <c r="R254" s="41">
        <f>SUM(P254:Q254)</f>
        <v>0</v>
      </c>
      <c r="S254" s="42">
        <v>749</v>
      </c>
    </row>
    <row r="255" spans="2:19" ht="15.75" x14ac:dyDescent="0.25">
      <c r="B255" s="55">
        <f t="shared" ref="B255:B275" si="38">+B254+1</f>
        <v>3</v>
      </c>
      <c r="C255" s="55" t="s">
        <v>427</v>
      </c>
      <c r="D255" s="35" t="s">
        <v>428</v>
      </c>
      <c r="E255" s="36">
        <v>42551</v>
      </c>
      <c r="F255" s="37"/>
      <c r="G255" s="38">
        <v>5</v>
      </c>
      <c r="H255" s="39">
        <f t="shared" ref="H255:H275" si="39">+F255/G255</f>
        <v>0</v>
      </c>
      <c r="I255" s="37"/>
      <c r="J255" s="37"/>
      <c r="K255" s="37"/>
      <c r="L255" s="37"/>
      <c r="M255" s="37"/>
      <c r="N255" s="39">
        <f t="shared" ref="N255:N275" si="40">+M255-O255</f>
        <v>0</v>
      </c>
      <c r="O255" s="37"/>
      <c r="P255" s="40"/>
      <c r="Q255" s="40"/>
      <c r="R255" s="41">
        <f t="shared" ref="R255:R275" si="41">SUM(P255:Q255)</f>
        <v>0</v>
      </c>
      <c r="S255" s="42"/>
    </row>
    <row r="256" spans="2:19" ht="15.75" x14ac:dyDescent="0.25">
      <c r="B256" s="55">
        <f t="shared" si="38"/>
        <v>4</v>
      </c>
      <c r="C256" s="55" t="s">
        <v>429</v>
      </c>
      <c r="D256" s="35" t="s">
        <v>430</v>
      </c>
      <c r="E256" s="36">
        <v>42551</v>
      </c>
      <c r="F256" s="37"/>
      <c r="G256" s="38">
        <v>10</v>
      </c>
      <c r="H256" s="39">
        <f t="shared" si="39"/>
        <v>0</v>
      </c>
      <c r="I256" s="37"/>
      <c r="J256" s="37"/>
      <c r="K256" s="37"/>
      <c r="L256" s="37"/>
      <c r="M256" s="37"/>
      <c r="N256" s="39">
        <f t="shared" si="40"/>
        <v>0</v>
      </c>
      <c r="O256" s="37"/>
      <c r="P256" s="40"/>
      <c r="Q256" s="40"/>
      <c r="R256" s="41">
        <f t="shared" si="41"/>
        <v>0</v>
      </c>
      <c r="S256" s="42"/>
    </row>
    <row r="257" spans="2:19" ht="15.75" x14ac:dyDescent="0.25">
      <c r="B257" s="55">
        <f t="shared" si="38"/>
        <v>5</v>
      </c>
      <c r="C257" s="55" t="s">
        <v>431</v>
      </c>
      <c r="D257" s="35" t="s">
        <v>432</v>
      </c>
      <c r="E257" s="36">
        <v>42551</v>
      </c>
      <c r="F257" s="37">
        <v>82.846999999999994</v>
      </c>
      <c r="G257" s="38">
        <v>10</v>
      </c>
      <c r="H257" s="39">
        <f>+F257/G257</f>
        <v>8.2846999999999991</v>
      </c>
      <c r="I257" s="37">
        <v>217.08139299999999</v>
      </c>
      <c r="J257" s="37">
        <v>2370.625513</v>
      </c>
      <c r="K257" s="37">
        <v>0</v>
      </c>
      <c r="L257" s="37">
        <v>4.2110000000000003E-3</v>
      </c>
      <c r="M257" s="37">
        <v>-88.190037000000004</v>
      </c>
      <c r="N257" s="39">
        <f>+M257-O257</f>
        <v>-60.853128000000005</v>
      </c>
      <c r="O257" s="37">
        <v>-27.336908999999999</v>
      </c>
      <c r="P257" s="40">
        <v>0</v>
      </c>
      <c r="Q257" s="40">
        <v>0</v>
      </c>
      <c r="R257" s="41">
        <f>SUM(P257:Q257)</f>
        <v>0</v>
      </c>
      <c r="S257" s="42">
        <v>475</v>
      </c>
    </row>
    <row r="258" spans="2:19" ht="15.75" x14ac:dyDescent="0.25">
      <c r="B258" s="55">
        <f t="shared" si="38"/>
        <v>6</v>
      </c>
      <c r="C258" s="55" t="s">
        <v>433</v>
      </c>
      <c r="D258" s="35" t="s">
        <v>434</v>
      </c>
      <c r="E258" s="36">
        <v>42643</v>
      </c>
      <c r="F258" s="37"/>
      <c r="G258" s="38">
        <v>10</v>
      </c>
      <c r="H258" s="39">
        <f t="shared" si="39"/>
        <v>0</v>
      </c>
      <c r="I258" s="37"/>
      <c r="J258" s="37"/>
      <c r="K258" s="37"/>
      <c r="L258" s="37"/>
      <c r="M258" s="37"/>
      <c r="N258" s="39">
        <f t="shared" si="40"/>
        <v>0</v>
      </c>
      <c r="O258" s="37"/>
      <c r="P258" s="40"/>
      <c r="Q258" s="40"/>
      <c r="R258" s="41">
        <f t="shared" si="41"/>
        <v>0</v>
      </c>
      <c r="S258" s="42"/>
    </row>
    <row r="259" spans="2:19" ht="15.75" x14ac:dyDescent="0.25">
      <c r="B259" s="55">
        <f t="shared" si="38"/>
        <v>7</v>
      </c>
      <c r="C259" s="55" t="s">
        <v>435</v>
      </c>
      <c r="D259" s="35" t="s">
        <v>436</v>
      </c>
      <c r="E259" s="36">
        <v>42551</v>
      </c>
      <c r="F259" s="37"/>
      <c r="G259" s="38">
        <v>10</v>
      </c>
      <c r="H259" s="39">
        <f t="shared" si="39"/>
        <v>0</v>
      </c>
      <c r="I259" s="37"/>
      <c r="J259" s="37"/>
      <c r="K259" s="37"/>
      <c r="L259" s="37"/>
      <c r="M259" s="37"/>
      <c r="N259" s="39">
        <f t="shared" si="40"/>
        <v>0</v>
      </c>
      <c r="O259" s="37"/>
      <c r="P259" s="40"/>
      <c r="Q259" s="40"/>
      <c r="R259" s="41">
        <f t="shared" si="41"/>
        <v>0</v>
      </c>
      <c r="S259" s="42"/>
    </row>
    <row r="260" spans="2:19" ht="15.75" x14ac:dyDescent="0.25">
      <c r="B260" s="55">
        <f t="shared" si="38"/>
        <v>8</v>
      </c>
      <c r="C260" s="55" t="s">
        <v>437</v>
      </c>
      <c r="D260" s="35" t="s">
        <v>438</v>
      </c>
      <c r="E260" s="36">
        <v>42551</v>
      </c>
      <c r="F260" s="37"/>
      <c r="G260" s="38">
        <v>10</v>
      </c>
      <c r="H260" s="39">
        <f>+F260/G260</f>
        <v>0</v>
      </c>
      <c r="I260" s="37"/>
      <c r="J260" s="37"/>
      <c r="K260" s="37"/>
      <c r="L260" s="37"/>
      <c r="M260" s="37"/>
      <c r="N260" s="39">
        <f>+M260-O260</f>
        <v>0</v>
      </c>
      <c r="O260" s="37"/>
      <c r="P260" s="40"/>
      <c r="Q260" s="40"/>
      <c r="R260" s="41">
        <f>SUM(P260:Q260)</f>
        <v>0</v>
      </c>
      <c r="S260" s="42"/>
    </row>
    <row r="261" spans="2:19" ht="15.75" x14ac:dyDescent="0.25">
      <c r="B261" s="55">
        <f t="shared" si="38"/>
        <v>9</v>
      </c>
      <c r="C261" s="55" t="s">
        <v>439</v>
      </c>
      <c r="D261" s="35" t="s">
        <v>440</v>
      </c>
      <c r="E261" s="36">
        <v>42551</v>
      </c>
      <c r="F261" s="37">
        <v>99.096159999999998</v>
      </c>
      <c r="G261" s="38">
        <v>10</v>
      </c>
      <c r="H261" s="39">
        <f t="shared" si="39"/>
        <v>9.9096159999999998</v>
      </c>
      <c r="I261" s="37">
        <v>-44.300556999999998</v>
      </c>
      <c r="J261" s="37">
        <v>3.6806390000000002</v>
      </c>
      <c r="K261" s="37">
        <v>0</v>
      </c>
      <c r="L261" s="37">
        <v>0</v>
      </c>
      <c r="M261" s="37">
        <v>-0.31969799999999998</v>
      </c>
      <c r="N261" s="39">
        <f t="shared" si="40"/>
        <v>0</v>
      </c>
      <c r="O261" s="37">
        <v>-0.31969799999999998</v>
      </c>
      <c r="P261" s="40">
        <v>0</v>
      </c>
      <c r="Q261" s="40">
        <v>0</v>
      </c>
      <c r="R261" s="41">
        <f t="shared" si="41"/>
        <v>0</v>
      </c>
      <c r="S261" s="42">
        <v>913</v>
      </c>
    </row>
    <row r="262" spans="2:19" ht="15.75" x14ac:dyDescent="0.25">
      <c r="B262" s="55">
        <f t="shared" si="38"/>
        <v>10</v>
      </c>
      <c r="C262" s="55" t="s">
        <v>441</v>
      </c>
      <c r="D262" s="35" t="s">
        <v>442</v>
      </c>
      <c r="E262" s="36">
        <v>42551</v>
      </c>
      <c r="F262" s="37">
        <v>142.31</v>
      </c>
      <c r="G262" s="38">
        <v>10</v>
      </c>
      <c r="H262" s="39">
        <f t="shared" si="39"/>
        <v>14.231</v>
      </c>
      <c r="I262" s="37">
        <v>-274.49700000000001</v>
      </c>
      <c r="J262" s="37">
        <v>10310.425999999999</v>
      </c>
      <c r="K262" s="37">
        <v>1560.0070000000001</v>
      </c>
      <c r="L262" s="37">
        <v>206.05799999999999</v>
      </c>
      <c r="M262" s="37">
        <v>-577.93399999999997</v>
      </c>
      <c r="N262" s="39">
        <f t="shared" si="40"/>
        <v>0</v>
      </c>
      <c r="O262" s="37">
        <v>-577.93399999999997</v>
      </c>
      <c r="P262" s="40">
        <v>0</v>
      </c>
      <c r="Q262" s="40">
        <v>0</v>
      </c>
      <c r="R262" s="41">
        <f t="shared" si="41"/>
        <v>0</v>
      </c>
      <c r="S262" s="42">
        <v>1306</v>
      </c>
    </row>
    <row r="263" spans="2:19" ht="15.75" x14ac:dyDescent="0.25">
      <c r="B263" s="55">
        <f t="shared" si="38"/>
        <v>11</v>
      </c>
      <c r="C263" s="55" t="s">
        <v>443</v>
      </c>
      <c r="D263" s="35" t="s">
        <v>444</v>
      </c>
      <c r="E263" s="36">
        <v>42551</v>
      </c>
      <c r="F263" s="37">
        <v>163.66399999999999</v>
      </c>
      <c r="G263" s="38">
        <v>10</v>
      </c>
      <c r="H263" s="39">
        <f t="shared" si="39"/>
        <v>16.366399999999999</v>
      </c>
      <c r="I263" s="37">
        <v>64.201999999999998</v>
      </c>
      <c r="J263" s="37">
        <v>69.399000000000001</v>
      </c>
      <c r="K263" s="37">
        <v>0</v>
      </c>
      <c r="L263" s="37">
        <v>0</v>
      </c>
      <c r="M263" s="37">
        <v>-60.85</v>
      </c>
      <c r="N263" s="39">
        <f t="shared" si="40"/>
        <v>0</v>
      </c>
      <c r="O263" s="37">
        <v>-60.85</v>
      </c>
      <c r="P263" s="40">
        <v>0</v>
      </c>
      <c r="Q263" s="40">
        <v>0</v>
      </c>
      <c r="R263" s="41">
        <f t="shared" si="41"/>
        <v>0</v>
      </c>
      <c r="S263" s="42">
        <v>483</v>
      </c>
    </row>
    <row r="264" spans="2:19" ht="15.75" x14ac:dyDescent="0.25">
      <c r="B264" s="55">
        <f t="shared" si="38"/>
        <v>12</v>
      </c>
      <c r="C264" s="55" t="s">
        <v>445</v>
      </c>
      <c r="D264" s="35" t="s">
        <v>446</v>
      </c>
      <c r="E264" s="36">
        <v>42551</v>
      </c>
      <c r="F264" s="37">
        <v>46.621079999999999</v>
      </c>
      <c r="G264" s="38">
        <v>10</v>
      </c>
      <c r="H264" s="39">
        <f t="shared" si="39"/>
        <v>4.6621079999999999</v>
      </c>
      <c r="I264" s="37">
        <v>-490.94340999999997</v>
      </c>
      <c r="J264" s="37">
        <v>218.10275799999999</v>
      </c>
      <c r="K264" s="37">
        <v>56.164824000000003</v>
      </c>
      <c r="L264" s="37">
        <v>2.58134</v>
      </c>
      <c r="M264" s="37">
        <v>-33.644466999999999</v>
      </c>
      <c r="N264" s="39">
        <f t="shared" si="40"/>
        <v>-0.28205200000000019</v>
      </c>
      <c r="O264" s="37">
        <v>-33.362414999999999</v>
      </c>
      <c r="P264" s="40">
        <v>0</v>
      </c>
      <c r="Q264" s="40">
        <v>0</v>
      </c>
      <c r="R264" s="41">
        <f t="shared" si="41"/>
        <v>0</v>
      </c>
      <c r="S264" s="42">
        <v>165</v>
      </c>
    </row>
    <row r="265" spans="2:19" ht="15.75" x14ac:dyDescent="0.25">
      <c r="B265" s="55">
        <f t="shared" si="38"/>
        <v>13</v>
      </c>
      <c r="C265" s="55" t="s">
        <v>447</v>
      </c>
      <c r="D265" s="35" t="s">
        <v>448</v>
      </c>
      <c r="E265" s="36">
        <v>42551</v>
      </c>
      <c r="F265" s="37">
        <v>222.25</v>
      </c>
      <c r="G265" s="38">
        <v>10</v>
      </c>
      <c r="H265" s="39">
        <f>+F265/G265</f>
        <v>22.225000000000001</v>
      </c>
      <c r="I265" s="37"/>
      <c r="J265" s="37"/>
      <c r="K265" s="37"/>
      <c r="L265" s="37"/>
      <c r="M265" s="37">
        <v>-184.624</v>
      </c>
      <c r="N265" s="39">
        <f>+M265-O265</f>
        <v>1.4230000000000018</v>
      </c>
      <c r="O265" s="37">
        <v>-186.047</v>
      </c>
      <c r="P265" s="40">
        <v>0</v>
      </c>
      <c r="Q265" s="40">
        <v>0</v>
      </c>
      <c r="R265" s="41">
        <f>SUM(P265:Q265)</f>
        <v>0</v>
      </c>
      <c r="S265" s="42"/>
    </row>
    <row r="266" spans="2:19" ht="15.75" x14ac:dyDescent="0.25">
      <c r="B266" s="55">
        <f t="shared" si="38"/>
        <v>14</v>
      </c>
      <c r="C266" s="55" t="s">
        <v>449</v>
      </c>
      <c r="D266" s="35" t="s">
        <v>450</v>
      </c>
      <c r="E266" s="36">
        <v>42551</v>
      </c>
      <c r="F266" s="37">
        <v>146.41</v>
      </c>
      <c r="G266" s="38">
        <v>10</v>
      </c>
      <c r="H266" s="39">
        <f>+F266/G266</f>
        <v>14.641</v>
      </c>
      <c r="I266" s="37">
        <v>-1475.20435</v>
      </c>
      <c r="J266" s="37">
        <v>1042.7864520000001</v>
      </c>
      <c r="K266" s="37">
        <v>3</v>
      </c>
      <c r="L266" s="37">
        <v>10.671391</v>
      </c>
      <c r="M266" s="37">
        <v>-34.303092999999997</v>
      </c>
      <c r="N266" s="39">
        <f>+M266-O266</f>
        <v>3.2123740000000041</v>
      </c>
      <c r="O266" s="37">
        <v>-37.515467000000001</v>
      </c>
      <c r="P266" s="40">
        <v>0</v>
      </c>
      <c r="Q266" s="40">
        <v>0</v>
      </c>
      <c r="R266" s="41">
        <f>SUM(P266:Q266)</f>
        <v>0</v>
      </c>
      <c r="S266" s="42">
        <v>1754</v>
      </c>
    </row>
    <row r="267" spans="2:19" ht="15.75" x14ac:dyDescent="0.25">
      <c r="B267" s="55">
        <f t="shared" si="38"/>
        <v>15</v>
      </c>
      <c r="C267" s="55" t="s">
        <v>451</v>
      </c>
      <c r="D267" s="35" t="s">
        <v>452</v>
      </c>
      <c r="E267" s="36">
        <v>42551</v>
      </c>
      <c r="F267" s="37"/>
      <c r="G267" s="38">
        <v>10</v>
      </c>
      <c r="H267" s="39">
        <f t="shared" si="39"/>
        <v>0</v>
      </c>
      <c r="I267" s="37"/>
      <c r="J267" s="37"/>
      <c r="K267" s="37"/>
      <c r="L267" s="37"/>
      <c r="M267" s="37"/>
      <c r="N267" s="39">
        <f t="shared" si="40"/>
        <v>0</v>
      </c>
      <c r="O267" s="37"/>
      <c r="P267" s="40"/>
      <c r="Q267" s="40"/>
      <c r="R267" s="41">
        <f t="shared" si="41"/>
        <v>0</v>
      </c>
      <c r="S267" s="42"/>
    </row>
    <row r="268" spans="2:19" ht="15.75" x14ac:dyDescent="0.25">
      <c r="B268" s="55">
        <f t="shared" si="38"/>
        <v>16</v>
      </c>
      <c r="C268" s="55" t="s">
        <v>453</v>
      </c>
      <c r="D268" s="47" t="s">
        <v>454</v>
      </c>
      <c r="E268" s="36">
        <v>42551</v>
      </c>
      <c r="F268" s="71"/>
      <c r="G268" s="72">
        <v>10</v>
      </c>
      <c r="H268" s="73">
        <f t="shared" si="39"/>
        <v>0</v>
      </c>
      <c r="I268" s="71"/>
      <c r="J268" s="71"/>
      <c r="K268" s="71"/>
      <c r="L268" s="71"/>
      <c r="M268" s="71"/>
      <c r="N268" s="73">
        <f t="shared" si="40"/>
        <v>0</v>
      </c>
      <c r="O268" s="71"/>
      <c r="P268" s="74"/>
      <c r="Q268" s="74"/>
      <c r="R268" s="75">
        <f t="shared" si="41"/>
        <v>0</v>
      </c>
      <c r="S268" s="76"/>
    </row>
    <row r="269" spans="2:19" ht="15.75" x14ac:dyDescent="0.25">
      <c r="B269" s="55">
        <f t="shared" si="38"/>
        <v>17</v>
      </c>
      <c r="C269" s="55" t="s">
        <v>455</v>
      </c>
      <c r="D269" s="35" t="s">
        <v>456</v>
      </c>
      <c r="E269" s="36">
        <v>42551</v>
      </c>
      <c r="F269" s="37">
        <v>42.5</v>
      </c>
      <c r="G269" s="38">
        <v>10</v>
      </c>
      <c r="H269" s="39">
        <f t="shared" si="39"/>
        <v>4.25</v>
      </c>
      <c r="I269" s="37">
        <v>-62.784976999999998</v>
      </c>
      <c r="J269" s="37">
        <v>294.27012400000001</v>
      </c>
      <c r="K269" s="37">
        <v>275.13928900000002</v>
      </c>
      <c r="L269" s="37">
        <v>12.085312</v>
      </c>
      <c r="M269" s="37">
        <v>-72.831018999999998</v>
      </c>
      <c r="N269" s="39">
        <f t="shared" si="40"/>
        <v>-3.0893410000000046</v>
      </c>
      <c r="O269" s="37">
        <v>-69.741677999999993</v>
      </c>
      <c r="P269" s="40">
        <v>0</v>
      </c>
      <c r="Q269" s="40">
        <v>0</v>
      </c>
      <c r="R269" s="41">
        <f t="shared" si="41"/>
        <v>0</v>
      </c>
      <c r="S269" s="42">
        <v>1037</v>
      </c>
    </row>
    <row r="270" spans="2:19" ht="15.75" x14ac:dyDescent="0.25">
      <c r="B270" s="55">
        <f t="shared" si="38"/>
        <v>18</v>
      </c>
      <c r="C270" s="55" t="s">
        <v>457</v>
      </c>
      <c r="D270" s="35" t="s">
        <v>458</v>
      </c>
      <c r="E270" s="36">
        <v>42551</v>
      </c>
      <c r="F270" s="37">
        <v>11.832940000000001</v>
      </c>
      <c r="G270" s="38">
        <v>10</v>
      </c>
      <c r="H270" s="39">
        <f t="shared" si="39"/>
        <v>1.1832940000000001</v>
      </c>
      <c r="I270" s="37">
        <v>-1.054888</v>
      </c>
      <c r="J270" s="37">
        <v>1.4027E-2</v>
      </c>
      <c r="K270" s="37">
        <v>0</v>
      </c>
      <c r="L270" s="37">
        <v>0</v>
      </c>
      <c r="M270" s="37">
        <v>-0.308425</v>
      </c>
      <c r="N270" s="39">
        <f t="shared" si="40"/>
        <v>0</v>
      </c>
      <c r="O270" s="37">
        <v>-0.308425</v>
      </c>
      <c r="P270" s="40">
        <v>0</v>
      </c>
      <c r="Q270" s="40">
        <v>0</v>
      </c>
      <c r="R270" s="41">
        <f t="shared" si="41"/>
        <v>0</v>
      </c>
      <c r="S270" s="42">
        <v>587</v>
      </c>
    </row>
    <row r="271" spans="2:19" ht="15.75" x14ac:dyDescent="0.25">
      <c r="B271" s="55">
        <f t="shared" si="38"/>
        <v>19</v>
      </c>
      <c r="C271" s="55" t="s">
        <v>459</v>
      </c>
      <c r="D271" s="35" t="s">
        <v>460</v>
      </c>
      <c r="E271" s="36">
        <v>42551</v>
      </c>
      <c r="F271" s="37"/>
      <c r="G271" s="38">
        <v>10</v>
      </c>
      <c r="H271" s="39">
        <f t="shared" si="39"/>
        <v>0</v>
      </c>
      <c r="I271" s="37"/>
      <c r="J271" s="37"/>
      <c r="K271" s="37"/>
      <c r="L271" s="37"/>
      <c r="M271" s="37"/>
      <c r="N271" s="39">
        <f t="shared" si="40"/>
        <v>0</v>
      </c>
      <c r="O271" s="37"/>
      <c r="P271" s="40"/>
      <c r="Q271" s="40"/>
      <c r="R271" s="41">
        <f t="shared" si="41"/>
        <v>0</v>
      </c>
      <c r="S271" s="42"/>
    </row>
    <row r="272" spans="2:19" ht="15.75" x14ac:dyDescent="0.25">
      <c r="B272" s="55">
        <f t="shared" si="38"/>
        <v>20</v>
      </c>
      <c r="C272" s="55" t="s">
        <v>461</v>
      </c>
      <c r="D272" s="35" t="s">
        <v>462</v>
      </c>
      <c r="E272" s="36">
        <v>42551</v>
      </c>
      <c r="F272" s="37"/>
      <c r="G272" s="38">
        <v>10</v>
      </c>
      <c r="H272" s="39">
        <f t="shared" si="39"/>
        <v>0</v>
      </c>
      <c r="I272" s="37"/>
      <c r="J272" s="37"/>
      <c r="K272" s="37"/>
      <c r="L272" s="37"/>
      <c r="M272" s="37"/>
      <c r="N272" s="39">
        <f t="shared" si="40"/>
        <v>0</v>
      </c>
      <c r="O272" s="37"/>
      <c r="P272" s="40"/>
      <c r="Q272" s="40"/>
      <c r="R272" s="41">
        <f t="shared" si="41"/>
        <v>0</v>
      </c>
      <c r="S272" s="42"/>
    </row>
    <row r="273" spans="2:19" ht="15.75" x14ac:dyDescent="0.25">
      <c r="B273" s="55">
        <f t="shared" si="38"/>
        <v>21</v>
      </c>
      <c r="C273" s="55" t="s">
        <v>463</v>
      </c>
      <c r="D273" s="35" t="s">
        <v>464</v>
      </c>
      <c r="E273" s="36">
        <v>42551</v>
      </c>
      <c r="F273" s="37">
        <v>145</v>
      </c>
      <c r="G273" s="38">
        <v>10</v>
      </c>
      <c r="H273" s="39">
        <f>+F273/G273</f>
        <v>14.5</v>
      </c>
      <c r="I273" s="37">
        <v>28.427879999999998</v>
      </c>
      <c r="J273" s="37">
        <v>47.387790000000003</v>
      </c>
      <c r="K273" s="37">
        <v>1.2</v>
      </c>
      <c r="L273" s="37">
        <v>0</v>
      </c>
      <c r="M273" s="37">
        <v>-2.8037320000000001</v>
      </c>
      <c r="N273" s="39">
        <f>+M273-O273</f>
        <v>1.2000000000000011E-2</v>
      </c>
      <c r="O273" s="37">
        <v>-2.8157320000000001</v>
      </c>
      <c r="P273" s="40">
        <v>0</v>
      </c>
      <c r="Q273" s="40">
        <v>0</v>
      </c>
      <c r="R273" s="41">
        <f>SUM(P273:Q273)</f>
        <v>0</v>
      </c>
      <c r="S273" s="42">
        <v>1468</v>
      </c>
    </row>
    <row r="274" spans="2:19" ht="15.75" x14ac:dyDescent="0.25">
      <c r="B274" s="55">
        <f t="shared" si="38"/>
        <v>22</v>
      </c>
      <c r="C274" s="55" t="s">
        <v>465</v>
      </c>
      <c r="D274" s="35" t="s">
        <v>466</v>
      </c>
      <c r="E274" s="36">
        <v>42551</v>
      </c>
      <c r="F274" s="37">
        <v>115</v>
      </c>
      <c r="G274" s="38">
        <v>10</v>
      </c>
      <c r="H274" s="39">
        <f>+F274/G274</f>
        <v>11.5</v>
      </c>
      <c r="I274" s="37">
        <v>-52.047159000000001</v>
      </c>
      <c r="J274" s="37">
        <v>154.24212299999999</v>
      </c>
      <c r="K274" s="37">
        <v>0</v>
      </c>
      <c r="L274" s="37">
        <v>0.29524499999999998</v>
      </c>
      <c r="M274" s="37">
        <v>49.589243000000003</v>
      </c>
      <c r="N274" s="39">
        <f>+M274-O274</f>
        <v>5.9092320000000029</v>
      </c>
      <c r="O274" s="37">
        <v>43.680011</v>
      </c>
      <c r="P274" s="40">
        <v>0</v>
      </c>
      <c r="Q274" s="40">
        <v>0</v>
      </c>
      <c r="R274" s="41">
        <f>SUM(P274:Q274)</f>
        <v>0</v>
      </c>
      <c r="S274" s="42">
        <v>785</v>
      </c>
    </row>
    <row r="275" spans="2:19" ht="15.75" x14ac:dyDescent="0.25">
      <c r="B275" s="55">
        <f t="shared" si="38"/>
        <v>23</v>
      </c>
      <c r="C275" s="55" t="s">
        <v>467</v>
      </c>
      <c r="D275" s="35" t="s">
        <v>468</v>
      </c>
      <c r="E275" s="36">
        <v>42643</v>
      </c>
      <c r="F275" s="37"/>
      <c r="G275" s="38">
        <v>10</v>
      </c>
      <c r="H275" s="39">
        <f t="shared" si="39"/>
        <v>0</v>
      </c>
      <c r="I275" s="37"/>
      <c r="J275" s="37"/>
      <c r="K275" s="37"/>
      <c r="L275" s="37"/>
      <c r="M275" s="37"/>
      <c r="N275" s="39">
        <f t="shared" si="40"/>
        <v>0</v>
      </c>
      <c r="O275" s="37"/>
      <c r="P275" s="40"/>
      <c r="Q275" s="40"/>
      <c r="R275" s="41">
        <f t="shared" si="41"/>
        <v>0</v>
      </c>
      <c r="S275" s="42"/>
    </row>
    <row r="276" spans="2:19" ht="15.75" x14ac:dyDescent="0.25">
      <c r="B276" s="29"/>
      <c r="C276" s="29"/>
      <c r="D276" s="29"/>
      <c r="E276" s="29"/>
      <c r="F276" s="29"/>
      <c r="G276" s="43"/>
      <c r="H276" s="44"/>
      <c r="I276" s="31"/>
      <c r="J276" s="31"/>
      <c r="K276" s="31"/>
      <c r="L276" s="31"/>
      <c r="M276" s="31"/>
      <c r="N276" s="45"/>
      <c r="O276" s="31"/>
      <c r="P276" s="31"/>
      <c r="Q276" s="31"/>
      <c r="R276" s="45"/>
      <c r="S276" s="31"/>
    </row>
    <row r="277" spans="2:19" ht="15.75" x14ac:dyDescent="0.25">
      <c r="B277" s="34">
        <f>COUNT(B189:B276)</f>
        <v>85</v>
      </c>
      <c r="C277" s="34"/>
      <c r="D277" s="48"/>
      <c r="E277" s="48"/>
      <c r="F277" s="48">
        <f>SUM(F189:F276)</f>
        <v>20847.25997000001</v>
      </c>
      <c r="G277" s="49"/>
      <c r="H277" s="50">
        <f t="shared" ref="H277:O277" si="42">SUM(H189:H276)</f>
        <v>2191.9393440000008</v>
      </c>
      <c r="I277" s="48">
        <f t="shared" si="42"/>
        <v>49301.301468999984</v>
      </c>
      <c r="J277" s="48">
        <f t="shared" si="42"/>
        <v>244451.09845200009</v>
      </c>
      <c r="K277" s="48">
        <f t="shared" si="42"/>
        <v>195200.01060600008</v>
      </c>
      <c r="L277" s="48">
        <f t="shared" si="42"/>
        <v>6553.0726730000015</v>
      </c>
      <c r="M277" s="48">
        <f t="shared" si="42"/>
        <v>-8439.3465209999977</v>
      </c>
      <c r="N277" s="51">
        <f t="shared" si="42"/>
        <v>466.20728499999996</v>
      </c>
      <c r="O277" s="48">
        <f t="shared" si="42"/>
        <v>-8905.5538059999944</v>
      </c>
      <c r="P277" s="52"/>
      <c r="Q277" s="52"/>
      <c r="R277" s="53"/>
      <c r="S277" s="54">
        <f>SUM(S189:S276)</f>
        <v>75780</v>
      </c>
    </row>
    <row r="278" spans="2:19" ht="15.75" x14ac:dyDescent="0.25">
      <c r="B278" s="29"/>
      <c r="C278" s="29"/>
      <c r="D278" s="29"/>
      <c r="E278" s="29"/>
      <c r="F278" s="29"/>
      <c r="G278" s="43"/>
      <c r="H278" s="44"/>
      <c r="I278" s="31"/>
      <c r="J278" s="31"/>
      <c r="K278" s="31"/>
      <c r="L278" s="31"/>
      <c r="M278" s="31"/>
      <c r="N278" s="45"/>
      <c r="O278" s="31"/>
      <c r="P278" s="31"/>
      <c r="Q278" s="31"/>
      <c r="R278" s="45"/>
      <c r="S278" s="31"/>
    </row>
    <row r="279" spans="2:19" ht="15.75" x14ac:dyDescent="0.25">
      <c r="B279" s="29"/>
      <c r="C279" s="29"/>
      <c r="D279" s="29"/>
      <c r="E279" s="29"/>
      <c r="F279" s="29"/>
      <c r="G279" s="43"/>
      <c r="H279" s="44"/>
      <c r="I279" s="31"/>
      <c r="J279" s="31"/>
      <c r="K279" s="31"/>
      <c r="L279" s="31"/>
      <c r="M279" s="31"/>
      <c r="N279" s="45"/>
      <c r="O279" s="31"/>
      <c r="P279" s="31"/>
      <c r="Q279" s="31"/>
      <c r="R279" s="45"/>
      <c r="S279" s="31"/>
    </row>
    <row r="280" spans="2:19" ht="18.75" x14ac:dyDescent="0.3">
      <c r="B280" s="29"/>
      <c r="C280" s="33">
        <v>9</v>
      </c>
      <c r="D280" s="33" t="s">
        <v>469</v>
      </c>
      <c r="E280" s="61"/>
      <c r="F280" s="61"/>
      <c r="G280" s="43"/>
      <c r="H280" s="44"/>
      <c r="I280" s="31"/>
      <c r="J280" s="31"/>
      <c r="K280" s="31"/>
      <c r="L280" s="31"/>
      <c r="M280" s="31"/>
      <c r="N280" s="45"/>
      <c r="O280" s="31"/>
      <c r="P280" s="31"/>
      <c r="Q280" s="31"/>
      <c r="R280" s="45"/>
      <c r="S280" s="31"/>
    </row>
    <row r="281" spans="2:19" ht="15.75" x14ac:dyDescent="0.25">
      <c r="B281" s="29"/>
      <c r="C281" s="29"/>
      <c r="D281" s="29"/>
      <c r="E281" s="29"/>
      <c r="F281" s="29"/>
      <c r="G281" s="43"/>
      <c r="H281" s="44"/>
      <c r="I281" s="31"/>
      <c r="J281" s="31"/>
      <c r="K281" s="31"/>
      <c r="L281" s="31"/>
      <c r="M281" s="31"/>
      <c r="N281" s="45"/>
      <c r="O281" s="31"/>
      <c r="P281" s="31"/>
      <c r="Q281" s="31"/>
      <c r="R281" s="45"/>
      <c r="S281" s="31"/>
    </row>
    <row r="282" spans="2:19" ht="15.75" x14ac:dyDescent="0.25">
      <c r="B282" s="55">
        <v>1</v>
      </c>
      <c r="C282" s="55" t="s">
        <v>470</v>
      </c>
      <c r="D282" s="35" t="s">
        <v>471</v>
      </c>
      <c r="E282" s="36">
        <v>42551</v>
      </c>
      <c r="F282" s="37">
        <v>349.85</v>
      </c>
      <c r="G282" s="38">
        <v>10</v>
      </c>
      <c r="H282" s="39">
        <f t="shared" ref="H282:H289" si="43">+F282/G282</f>
        <v>34.984999999999999</v>
      </c>
      <c r="I282" s="37">
        <v>554.36277500000006</v>
      </c>
      <c r="J282" s="37">
        <v>957.52615200000002</v>
      </c>
      <c r="K282" s="37">
        <v>299.05480999999997</v>
      </c>
      <c r="L282" s="37">
        <v>1.2533529999999999</v>
      </c>
      <c r="M282" s="37">
        <v>3.1200570000000001</v>
      </c>
      <c r="N282" s="39">
        <f t="shared" ref="N282:N289" si="44">+M282-O282</f>
        <v>0</v>
      </c>
      <c r="O282" s="37">
        <v>3.1200570000000001</v>
      </c>
      <c r="P282" s="40">
        <v>0</v>
      </c>
      <c r="Q282" s="40">
        <v>0</v>
      </c>
      <c r="R282" s="41">
        <f t="shared" ref="R282:R289" si="45">SUM(P282:Q282)</f>
        <v>0</v>
      </c>
      <c r="S282" s="42">
        <v>517</v>
      </c>
    </row>
    <row r="283" spans="2:19" ht="15.75" x14ac:dyDescent="0.25">
      <c r="B283" s="55">
        <f t="shared" ref="B283:B289" si="46">+B282+1</f>
        <v>2</v>
      </c>
      <c r="C283" s="55" t="s">
        <v>472</v>
      </c>
      <c r="D283" s="35" t="s">
        <v>473</v>
      </c>
      <c r="E283" s="36">
        <v>42551</v>
      </c>
      <c r="F283" s="37">
        <v>3768.009</v>
      </c>
      <c r="G283" s="38">
        <v>10</v>
      </c>
      <c r="H283" s="39">
        <f t="shared" si="43"/>
        <v>376.80090000000001</v>
      </c>
      <c r="I283" s="37">
        <v>11687.227000000001</v>
      </c>
      <c r="J283" s="37">
        <v>15508.971</v>
      </c>
      <c r="K283" s="37">
        <v>19664.897000000001</v>
      </c>
      <c r="L283" s="37">
        <v>81.659000000000006</v>
      </c>
      <c r="M283" s="37">
        <v>4032.0509999999999</v>
      </c>
      <c r="N283" s="39">
        <f t="shared" si="44"/>
        <v>221.96799999999985</v>
      </c>
      <c r="O283" s="37">
        <v>3810.0830000000001</v>
      </c>
      <c r="P283" s="40">
        <f>15+5+21</f>
        <v>41</v>
      </c>
      <c r="Q283" s="40">
        <v>0</v>
      </c>
      <c r="R283" s="41">
        <f t="shared" si="45"/>
        <v>41</v>
      </c>
      <c r="S283" s="42">
        <v>539</v>
      </c>
    </row>
    <row r="284" spans="2:19" ht="15.75" x14ac:dyDescent="0.25">
      <c r="B284" s="55">
        <f t="shared" si="46"/>
        <v>3</v>
      </c>
      <c r="C284" s="55" t="s">
        <v>474</v>
      </c>
      <c r="D284" s="35" t="s">
        <v>475</v>
      </c>
      <c r="E284" s="36">
        <v>42551</v>
      </c>
      <c r="F284" s="37">
        <v>184.8</v>
      </c>
      <c r="G284" s="38">
        <v>10</v>
      </c>
      <c r="H284" s="39">
        <f t="shared" si="43"/>
        <v>18.48</v>
      </c>
      <c r="I284" s="37">
        <v>901.37275999999997</v>
      </c>
      <c r="J284" s="37">
        <v>2940.708521</v>
      </c>
      <c r="K284" s="37">
        <v>5211.4294330000002</v>
      </c>
      <c r="L284" s="37">
        <v>111.346424</v>
      </c>
      <c r="M284" s="37">
        <v>72.361760000000004</v>
      </c>
      <c r="N284" s="39">
        <f t="shared" si="44"/>
        <v>32.389678000000004</v>
      </c>
      <c r="O284" s="37">
        <v>39.972082</v>
      </c>
      <c r="P284" s="40">
        <f>17.5</f>
        <v>17.5</v>
      </c>
      <c r="Q284" s="40">
        <v>0</v>
      </c>
      <c r="R284" s="41">
        <f t="shared" si="45"/>
        <v>17.5</v>
      </c>
      <c r="S284" s="42">
        <v>631</v>
      </c>
    </row>
    <row r="285" spans="2:19" ht="15.75" x14ac:dyDescent="0.25">
      <c r="B285" s="55">
        <f t="shared" si="46"/>
        <v>4</v>
      </c>
      <c r="C285" s="55" t="s">
        <v>476</v>
      </c>
      <c r="D285" s="35" t="s">
        <v>477</v>
      </c>
      <c r="E285" s="36">
        <v>42551</v>
      </c>
      <c r="F285" s="37">
        <v>267.27999999999997</v>
      </c>
      <c r="G285" s="38">
        <v>10</v>
      </c>
      <c r="H285" s="39">
        <f t="shared" si="43"/>
        <v>26.727999999999998</v>
      </c>
      <c r="I285" s="37">
        <v>318.53601600000002</v>
      </c>
      <c r="J285" s="37">
        <v>1656.945559</v>
      </c>
      <c r="K285" s="37">
        <v>1272.231162</v>
      </c>
      <c r="L285" s="37">
        <v>85.394279999999995</v>
      </c>
      <c r="M285" s="37">
        <v>-102.950847</v>
      </c>
      <c r="N285" s="39">
        <f t="shared" si="44"/>
        <v>-7.4434880000000021</v>
      </c>
      <c r="O285" s="37">
        <v>-95.507358999999994</v>
      </c>
      <c r="P285" s="40">
        <v>0</v>
      </c>
      <c r="Q285" s="40">
        <v>0</v>
      </c>
      <c r="R285" s="41">
        <f t="shared" si="45"/>
        <v>0</v>
      </c>
      <c r="S285" s="42">
        <v>719</v>
      </c>
    </row>
    <row r="286" spans="2:19" ht="15.75" x14ac:dyDescent="0.25">
      <c r="B286" s="55">
        <f t="shared" si="46"/>
        <v>5</v>
      </c>
      <c r="C286" s="55" t="s">
        <v>478</v>
      </c>
      <c r="D286" s="35" t="s">
        <v>479</v>
      </c>
      <c r="E286" s="36">
        <v>42551</v>
      </c>
      <c r="F286" s="37">
        <v>157.548</v>
      </c>
      <c r="G286" s="38">
        <v>10</v>
      </c>
      <c r="H286" s="39">
        <f>+F286/G286</f>
        <v>15.754799999999999</v>
      </c>
      <c r="I286" s="37">
        <v>-191.646636</v>
      </c>
      <c r="J286" s="37">
        <v>16.864027</v>
      </c>
      <c r="K286" s="37">
        <v>0</v>
      </c>
      <c r="L286" s="37">
        <v>0</v>
      </c>
      <c r="M286" s="37">
        <v>-6.9320170000000001</v>
      </c>
      <c r="N286" s="39">
        <f>+M286-O286</f>
        <v>0.11312500000000014</v>
      </c>
      <c r="O286" s="37">
        <v>-7.0451420000000002</v>
      </c>
      <c r="P286" s="40">
        <f>2</f>
        <v>2</v>
      </c>
      <c r="Q286" s="40">
        <v>0</v>
      </c>
      <c r="R286" s="41">
        <f>SUM(P286:Q286)</f>
        <v>2</v>
      </c>
      <c r="S286" s="42">
        <v>3909</v>
      </c>
    </row>
    <row r="287" spans="2:19" ht="15.75" x14ac:dyDescent="0.25">
      <c r="B287" s="55">
        <f t="shared" si="46"/>
        <v>6</v>
      </c>
      <c r="C287" s="55" t="s">
        <v>480</v>
      </c>
      <c r="D287" s="35" t="s">
        <v>481</v>
      </c>
      <c r="E287" s="36">
        <v>42551</v>
      </c>
      <c r="F287" s="37">
        <v>96.6</v>
      </c>
      <c r="G287" s="38">
        <v>10</v>
      </c>
      <c r="H287" s="39">
        <f t="shared" si="43"/>
        <v>9.66</v>
      </c>
      <c r="I287" s="37">
        <v>890.45300999999995</v>
      </c>
      <c r="J287" s="37">
        <v>1636.3293940000001</v>
      </c>
      <c r="K287" s="37">
        <v>3155.8868689999999</v>
      </c>
      <c r="L287" s="37">
        <v>43.112119</v>
      </c>
      <c r="M287" s="37">
        <v>116.512818</v>
      </c>
      <c r="N287" s="39">
        <f t="shared" si="44"/>
        <v>17.654479999999992</v>
      </c>
      <c r="O287" s="37">
        <v>98.858338000000003</v>
      </c>
      <c r="P287" s="40">
        <f>45</f>
        <v>45</v>
      </c>
      <c r="Q287" s="40">
        <v>0</v>
      </c>
      <c r="R287" s="41">
        <f t="shared" si="45"/>
        <v>45</v>
      </c>
      <c r="S287" s="42">
        <v>1098</v>
      </c>
    </row>
    <row r="288" spans="2:19" ht="15.75" x14ac:dyDescent="0.25">
      <c r="B288" s="55">
        <f t="shared" si="46"/>
        <v>7</v>
      </c>
      <c r="C288" s="55" t="s">
        <v>482</v>
      </c>
      <c r="D288" s="35" t="s">
        <v>483</v>
      </c>
      <c r="E288" s="36">
        <v>42551</v>
      </c>
      <c r="F288" s="37">
        <v>400</v>
      </c>
      <c r="G288" s="38">
        <v>10</v>
      </c>
      <c r="H288" s="39">
        <f>+F288/G288</f>
        <v>40</v>
      </c>
      <c r="I288" s="37">
        <v>-612.79827699999998</v>
      </c>
      <c r="J288" s="37">
        <v>947.04805199999998</v>
      </c>
      <c r="K288" s="37">
        <v>1309.0762139999999</v>
      </c>
      <c r="L288" s="37">
        <v>56.942272000000003</v>
      </c>
      <c r="M288" s="37">
        <v>-407.14818600000001</v>
      </c>
      <c r="N288" s="39">
        <f>+M288-O288</f>
        <v>2.7170189999999934</v>
      </c>
      <c r="O288" s="37">
        <v>-409.865205</v>
      </c>
      <c r="P288" s="40">
        <v>0</v>
      </c>
      <c r="Q288" s="40">
        <v>0</v>
      </c>
      <c r="R288" s="41">
        <f>SUM(P288:Q288)</f>
        <v>0</v>
      </c>
      <c r="S288" s="42">
        <v>593</v>
      </c>
    </row>
    <row r="289" spans="2:19" ht="15.75" x14ac:dyDescent="0.25">
      <c r="B289" s="55">
        <f t="shared" si="46"/>
        <v>8</v>
      </c>
      <c r="C289" s="55" t="s">
        <v>484</v>
      </c>
      <c r="D289" s="35" t="s">
        <v>485</v>
      </c>
      <c r="E289" s="36">
        <v>42551</v>
      </c>
      <c r="F289" s="37">
        <v>594.28728999999998</v>
      </c>
      <c r="G289" s="38">
        <v>10</v>
      </c>
      <c r="H289" s="39">
        <f t="shared" si="43"/>
        <v>59.428728999999997</v>
      </c>
      <c r="I289" s="37">
        <v>963.99958500000002</v>
      </c>
      <c r="J289" s="37">
        <v>3418.9447409999998</v>
      </c>
      <c r="K289" s="37">
        <v>3932.8568700000001</v>
      </c>
      <c r="L289" s="37">
        <v>126.33632</v>
      </c>
      <c r="M289" s="37">
        <v>132.32967099999999</v>
      </c>
      <c r="N289" s="39">
        <f t="shared" si="44"/>
        <v>25.295131999999995</v>
      </c>
      <c r="O289" s="37">
        <v>107.034539</v>
      </c>
      <c r="P289" s="40">
        <v>0</v>
      </c>
      <c r="Q289" s="40">
        <v>0</v>
      </c>
      <c r="R289" s="41">
        <f t="shared" si="45"/>
        <v>0</v>
      </c>
      <c r="S289" s="42">
        <v>514</v>
      </c>
    </row>
    <row r="290" spans="2:19" ht="15.75" x14ac:dyDescent="0.25">
      <c r="B290" s="29"/>
      <c r="C290" s="29"/>
      <c r="D290" s="29"/>
      <c r="E290" s="29"/>
      <c r="F290" s="29"/>
      <c r="G290" s="43"/>
      <c r="H290" s="44"/>
      <c r="I290" s="31"/>
      <c r="J290" s="31"/>
      <c r="K290" s="31"/>
      <c r="L290" s="31"/>
      <c r="M290" s="31"/>
      <c r="N290" s="45"/>
      <c r="O290" s="31"/>
      <c r="P290" s="31"/>
      <c r="Q290" s="31"/>
      <c r="R290" s="45"/>
      <c r="S290" s="31"/>
    </row>
    <row r="291" spans="2:19" ht="18.75" x14ac:dyDescent="0.3">
      <c r="B291" s="29"/>
      <c r="C291" s="29"/>
      <c r="D291" s="57" t="s">
        <v>45</v>
      </c>
      <c r="E291" s="29"/>
      <c r="F291" s="29"/>
      <c r="G291" s="43"/>
      <c r="H291" s="44"/>
      <c r="I291" s="31"/>
      <c r="J291" s="31"/>
      <c r="K291" s="31"/>
      <c r="L291" s="31"/>
      <c r="M291" s="31"/>
      <c r="N291" s="45"/>
      <c r="O291" s="31"/>
      <c r="P291" s="31"/>
      <c r="Q291" s="31"/>
      <c r="R291" s="45"/>
      <c r="S291" s="31"/>
    </row>
    <row r="292" spans="2:19" ht="15.75" x14ac:dyDescent="0.25">
      <c r="B292" s="55">
        <v>1</v>
      </c>
      <c r="C292" s="55" t="s">
        <v>486</v>
      </c>
      <c r="D292" s="35" t="s">
        <v>487</v>
      </c>
      <c r="E292" s="36">
        <v>42643</v>
      </c>
      <c r="F292" s="37"/>
      <c r="G292" s="38">
        <v>10</v>
      </c>
      <c r="H292" s="39">
        <f t="shared" ref="H292:H297" si="47">+F292/G292</f>
        <v>0</v>
      </c>
      <c r="I292" s="37"/>
      <c r="J292" s="37"/>
      <c r="K292" s="37"/>
      <c r="L292" s="37"/>
      <c r="M292" s="37"/>
      <c r="N292" s="39">
        <f t="shared" ref="N292:N297" si="48">+M292-O292</f>
        <v>0</v>
      </c>
      <c r="O292" s="37"/>
      <c r="P292" s="40"/>
      <c r="Q292" s="40"/>
      <c r="R292" s="41">
        <f t="shared" ref="R292:R297" si="49">SUM(P292:Q292)</f>
        <v>0</v>
      </c>
      <c r="S292" s="42"/>
    </row>
    <row r="293" spans="2:19" ht="15.75" x14ac:dyDescent="0.25">
      <c r="B293" s="55">
        <f>+B292+1</f>
        <v>2</v>
      </c>
      <c r="C293" s="55" t="s">
        <v>488</v>
      </c>
      <c r="D293" s="35" t="s">
        <v>489</v>
      </c>
      <c r="E293" s="36">
        <v>42643</v>
      </c>
      <c r="F293" s="37"/>
      <c r="G293" s="38">
        <v>10</v>
      </c>
      <c r="H293" s="39">
        <f t="shared" si="47"/>
        <v>0</v>
      </c>
      <c r="I293" s="37"/>
      <c r="J293" s="37"/>
      <c r="K293" s="37"/>
      <c r="L293" s="37"/>
      <c r="M293" s="37"/>
      <c r="N293" s="39">
        <f t="shared" si="48"/>
        <v>0</v>
      </c>
      <c r="O293" s="37"/>
      <c r="P293" s="40"/>
      <c r="Q293" s="40"/>
      <c r="R293" s="41">
        <f t="shared" si="49"/>
        <v>0</v>
      </c>
      <c r="S293" s="42"/>
    </row>
    <row r="294" spans="2:19" ht="15.75" x14ac:dyDescent="0.25">
      <c r="B294" s="55">
        <f>+B293+1</f>
        <v>3</v>
      </c>
      <c r="C294" s="55" t="s">
        <v>490</v>
      </c>
      <c r="D294" s="35" t="s">
        <v>491</v>
      </c>
      <c r="E294" s="36">
        <v>42551</v>
      </c>
      <c r="F294" s="37">
        <v>300.01119999999997</v>
      </c>
      <c r="G294" s="38">
        <v>10</v>
      </c>
      <c r="H294" s="39">
        <f>+F294/G294</f>
        <v>30.001119999999997</v>
      </c>
      <c r="I294" s="37">
        <v>-516.95918500000005</v>
      </c>
      <c r="J294" s="37">
        <v>928.347712</v>
      </c>
      <c r="K294" s="37">
        <v>443.60414900000001</v>
      </c>
      <c r="L294" s="37">
        <v>52.711509</v>
      </c>
      <c r="M294" s="37">
        <v>-217.596948</v>
      </c>
      <c r="N294" s="39">
        <f>+M294-O294</f>
        <v>-6.5335780000000057</v>
      </c>
      <c r="O294" s="37">
        <v>-211.06336999999999</v>
      </c>
      <c r="P294" s="40">
        <v>0</v>
      </c>
      <c r="Q294" s="40">
        <v>0</v>
      </c>
      <c r="R294" s="41">
        <f>SUM(P294:Q294)</f>
        <v>0</v>
      </c>
      <c r="S294" s="42">
        <v>1528</v>
      </c>
    </row>
    <row r="295" spans="2:19" ht="15.75" x14ac:dyDescent="0.25">
      <c r="B295" s="55">
        <f>+B294+1</f>
        <v>4</v>
      </c>
      <c r="C295" s="55" t="s">
        <v>492</v>
      </c>
      <c r="D295" s="35" t="s">
        <v>493</v>
      </c>
      <c r="E295" s="36">
        <v>42643</v>
      </c>
      <c r="F295" s="37"/>
      <c r="G295" s="38">
        <v>10</v>
      </c>
      <c r="H295" s="39">
        <f t="shared" si="47"/>
        <v>0</v>
      </c>
      <c r="I295" s="37"/>
      <c r="J295" s="37"/>
      <c r="K295" s="37"/>
      <c r="L295" s="37"/>
      <c r="M295" s="37"/>
      <c r="N295" s="39">
        <f t="shared" si="48"/>
        <v>0</v>
      </c>
      <c r="O295" s="37"/>
      <c r="P295" s="40"/>
      <c r="Q295" s="40"/>
      <c r="R295" s="41">
        <f t="shared" si="49"/>
        <v>0</v>
      </c>
      <c r="S295" s="42"/>
    </row>
    <row r="296" spans="2:19" ht="15.75" x14ac:dyDescent="0.25">
      <c r="B296" s="55">
        <f>+B295+1</f>
        <v>5</v>
      </c>
      <c r="C296" s="55" t="s">
        <v>494</v>
      </c>
      <c r="D296" s="35" t="s">
        <v>495</v>
      </c>
      <c r="E296" s="36">
        <v>42551</v>
      </c>
      <c r="F296" s="37"/>
      <c r="G296" s="38">
        <v>10</v>
      </c>
      <c r="H296" s="39">
        <f t="shared" si="47"/>
        <v>0</v>
      </c>
      <c r="I296" s="37"/>
      <c r="J296" s="37"/>
      <c r="K296" s="37"/>
      <c r="L296" s="37"/>
      <c r="M296" s="37"/>
      <c r="N296" s="39">
        <f t="shared" si="48"/>
        <v>0</v>
      </c>
      <c r="O296" s="37"/>
      <c r="P296" s="40"/>
      <c r="Q296" s="40"/>
      <c r="R296" s="41">
        <f t="shared" si="49"/>
        <v>0</v>
      </c>
      <c r="S296" s="42"/>
    </row>
    <row r="297" spans="2:19" ht="15.75" x14ac:dyDescent="0.25">
      <c r="B297" s="55">
        <f>+B296+1</f>
        <v>6</v>
      </c>
      <c r="C297" s="55" t="s">
        <v>496</v>
      </c>
      <c r="D297" s="35" t="s">
        <v>497</v>
      </c>
      <c r="E297" s="36">
        <v>42643</v>
      </c>
      <c r="F297" s="37"/>
      <c r="G297" s="38">
        <v>10</v>
      </c>
      <c r="H297" s="39">
        <f t="shared" si="47"/>
        <v>0</v>
      </c>
      <c r="I297" s="37"/>
      <c r="J297" s="37"/>
      <c r="K297" s="37"/>
      <c r="L297" s="37"/>
      <c r="M297" s="37"/>
      <c r="N297" s="39">
        <f t="shared" si="48"/>
        <v>0</v>
      </c>
      <c r="O297" s="37"/>
      <c r="P297" s="40"/>
      <c r="Q297" s="40"/>
      <c r="R297" s="41">
        <f t="shared" si="49"/>
        <v>0</v>
      </c>
      <c r="S297" s="42"/>
    </row>
    <row r="298" spans="2:19" ht="15.75" x14ac:dyDescent="0.25">
      <c r="B298" s="29"/>
      <c r="C298" s="29"/>
      <c r="D298" s="29"/>
      <c r="E298" s="29"/>
      <c r="F298" s="29"/>
      <c r="G298" s="43"/>
      <c r="H298" s="44"/>
      <c r="I298" s="31"/>
      <c r="J298" s="31"/>
      <c r="K298" s="31"/>
      <c r="L298" s="31"/>
      <c r="M298" s="31"/>
      <c r="N298" s="45"/>
      <c r="O298" s="31"/>
      <c r="P298" s="31"/>
      <c r="Q298" s="31"/>
      <c r="R298" s="45"/>
      <c r="S298" s="31"/>
    </row>
    <row r="299" spans="2:19" ht="15.75" x14ac:dyDescent="0.25">
      <c r="B299" s="34">
        <f>COUNT(B282:B298)</f>
        <v>14</v>
      </c>
      <c r="C299" s="34"/>
      <c r="D299" s="48"/>
      <c r="E299" s="48"/>
      <c r="F299" s="48">
        <f>SUM(F282:F298)</f>
        <v>6118.3854900000006</v>
      </c>
      <c r="G299" s="49"/>
      <c r="H299" s="50">
        <f t="shared" ref="H299:O299" si="50">SUM(H282:H298)</f>
        <v>611.83854900000006</v>
      </c>
      <c r="I299" s="48">
        <f t="shared" si="50"/>
        <v>13994.547048</v>
      </c>
      <c r="J299" s="48">
        <f t="shared" si="50"/>
        <v>28011.685157999997</v>
      </c>
      <c r="K299" s="48">
        <f t="shared" si="50"/>
        <v>35289.036507000004</v>
      </c>
      <c r="L299" s="48">
        <f t="shared" si="50"/>
        <v>558.75527699999998</v>
      </c>
      <c r="M299" s="48">
        <f t="shared" si="50"/>
        <v>3621.7473080000004</v>
      </c>
      <c r="N299" s="51">
        <f t="shared" si="50"/>
        <v>286.16036799999983</v>
      </c>
      <c r="O299" s="48">
        <f t="shared" si="50"/>
        <v>3335.5869400000001</v>
      </c>
      <c r="P299" s="52"/>
      <c r="Q299" s="52"/>
      <c r="R299" s="53"/>
      <c r="S299" s="54">
        <f>SUM(S282:S298)</f>
        <v>10048</v>
      </c>
    </row>
    <row r="300" spans="2:19" ht="15.75" x14ac:dyDescent="0.25">
      <c r="B300" s="29"/>
      <c r="C300" s="29"/>
      <c r="D300" s="29"/>
      <c r="E300" s="29"/>
      <c r="F300" s="29"/>
      <c r="G300" s="43"/>
      <c r="H300" s="44"/>
      <c r="I300" s="31"/>
      <c r="J300" s="31"/>
      <c r="K300" s="31"/>
      <c r="L300" s="31"/>
      <c r="M300" s="31"/>
      <c r="N300" s="45"/>
      <c r="O300" s="31"/>
      <c r="P300" s="31"/>
      <c r="Q300" s="31"/>
      <c r="R300" s="45"/>
      <c r="S300" s="31"/>
    </row>
    <row r="301" spans="2:19" ht="15.75" x14ac:dyDescent="0.25">
      <c r="B301" s="29"/>
      <c r="C301" s="29"/>
      <c r="D301" s="29"/>
      <c r="E301" s="29"/>
      <c r="F301" s="29"/>
      <c r="G301" s="43"/>
      <c r="H301" s="44"/>
      <c r="I301" s="31"/>
      <c r="J301" s="31"/>
      <c r="K301" s="31"/>
      <c r="L301" s="31"/>
      <c r="M301" s="31"/>
      <c r="N301" s="45"/>
      <c r="O301" s="31"/>
      <c r="P301" s="31"/>
      <c r="Q301" s="31"/>
      <c r="R301" s="45"/>
      <c r="S301" s="31"/>
    </row>
    <row r="302" spans="2:19" ht="18.75" x14ac:dyDescent="0.3">
      <c r="B302" s="29"/>
      <c r="C302" s="33">
        <v>10</v>
      </c>
      <c r="D302" s="33" t="s">
        <v>498</v>
      </c>
      <c r="E302" s="61"/>
      <c r="F302" s="61"/>
      <c r="G302" s="43"/>
      <c r="H302" s="44"/>
      <c r="I302" s="31"/>
      <c r="J302" s="31"/>
      <c r="K302" s="31"/>
      <c r="L302" s="31"/>
      <c r="M302" s="31"/>
      <c r="N302" s="45"/>
      <c r="O302" s="31"/>
      <c r="P302" s="31"/>
      <c r="Q302" s="31"/>
      <c r="R302" s="45"/>
      <c r="S302" s="31"/>
    </row>
    <row r="303" spans="2:19" ht="15.75" x14ac:dyDescent="0.25">
      <c r="B303" s="29"/>
      <c r="C303" s="29"/>
      <c r="D303" s="29"/>
      <c r="E303" s="29"/>
      <c r="F303" s="29"/>
      <c r="G303" s="43"/>
      <c r="H303" s="44"/>
      <c r="I303" s="31"/>
      <c r="J303" s="31"/>
      <c r="K303" s="31"/>
      <c r="L303" s="31"/>
      <c r="M303" s="31"/>
      <c r="N303" s="45"/>
      <c r="O303" s="31"/>
      <c r="P303" s="31"/>
      <c r="Q303" s="31"/>
      <c r="R303" s="45"/>
      <c r="S303" s="31"/>
    </row>
    <row r="304" spans="2:19" ht="15.75" x14ac:dyDescent="0.25">
      <c r="B304" s="55">
        <v>1</v>
      </c>
      <c r="C304" s="55" t="s">
        <v>499</v>
      </c>
      <c r="D304" s="35" t="s">
        <v>500</v>
      </c>
      <c r="E304" s="36">
        <v>42551</v>
      </c>
      <c r="F304" s="37">
        <v>840</v>
      </c>
      <c r="G304" s="38">
        <v>10</v>
      </c>
      <c r="H304" s="39">
        <f t="shared" ref="H304:H342" si="51">+F304/G304</f>
        <v>84</v>
      </c>
      <c r="I304" s="37">
        <v>5497.4679999999998</v>
      </c>
      <c r="J304" s="37">
        <v>8610.7610000000004</v>
      </c>
      <c r="K304" s="37">
        <v>6461.9830000000002</v>
      </c>
      <c r="L304" s="37">
        <v>72.41</v>
      </c>
      <c r="M304" s="37">
        <v>399.84199999999998</v>
      </c>
      <c r="N304" s="39">
        <f t="shared" ref="N304:N342" si="52">+M304-O304</f>
        <v>21.842999999999961</v>
      </c>
      <c r="O304" s="37">
        <v>377.99900000000002</v>
      </c>
      <c r="P304" s="40">
        <f>20</f>
        <v>20</v>
      </c>
      <c r="Q304" s="40">
        <v>0</v>
      </c>
      <c r="R304" s="41">
        <f t="shared" ref="R304:R342" si="53">SUM(P304:Q304)</f>
        <v>20</v>
      </c>
      <c r="S304" s="42">
        <v>767</v>
      </c>
    </row>
    <row r="305" spans="2:19" ht="15.75" x14ac:dyDescent="0.25">
      <c r="B305" s="55">
        <f>+B304+1</f>
        <v>2</v>
      </c>
      <c r="C305" s="55" t="s">
        <v>501</v>
      </c>
      <c r="D305" s="35" t="s">
        <v>502</v>
      </c>
      <c r="E305" s="36">
        <v>42551</v>
      </c>
      <c r="F305" s="37">
        <v>144.08248800000001</v>
      </c>
      <c r="G305" s="38">
        <v>10</v>
      </c>
      <c r="H305" s="39">
        <f t="shared" si="51"/>
        <v>14.408248800000001</v>
      </c>
      <c r="I305" s="37">
        <v>972.05719099999999</v>
      </c>
      <c r="J305" s="37">
        <v>3674.6752769999998</v>
      </c>
      <c r="K305" s="37">
        <v>3455.5520120000001</v>
      </c>
      <c r="L305" s="37">
        <v>108.20490599999999</v>
      </c>
      <c r="M305" s="37">
        <v>8.7066920000000003</v>
      </c>
      <c r="N305" s="39">
        <f t="shared" si="52"/>
        <v>26.824652</v>
      </c>
      <c r="O305" s="37">
        <v>-18.11796</v>
      </c>
      <c r="P305" s="40">
        <v>0</v>
      </c>
      <c r="Q305" s="40">
        <v>0</v>
      </c>
      <c r="R305" s="41">
        <f t="shared" si="53"/>
        <v>0</v>
      </c>
      <c r="S305" s="42"/>
    </row>
    <row r="306" spans="2:19" ht="15.75" x14ac:dyDescent="0.25">
      <c r="B306" s="55">
        <f t="shared" ref="B306:B342" si="54">+B305+1</f>
        <v>3</v>
      </c>
      <c r="C306" s="55" t="s">
        <v>503</v>
      </c>
      <c r="D306" s="35" t="s">
        <v>504</v>
      </c>
      <c r="E306" s="36">
        <v>42551</v>
      </c>
      <c r="F306" s="37">
        <v>4493.4943899999998</v>
      </c>
      <c r="G306" s="38">
        <v>10</v>
      </c>
      <c r="H306" s="39">
        <f t="shared" si="51"/>
        <v>449.34943899999996</v>
      </c>
      <c r="I306" s="37">
        <v>-4525.986269</v>
      </c>
      <c r="J306" s="37">
        <v>18270.964077000001</v>
      </c>
      <c r="K306" s="37">
        <v>13176.284444000001</v>
      </c>
      <c r="L306" s="37">
        <v>1207.6245719999999</v>
      </c>
      <c r="M306" s="37">
        <v>-683.60157000000004</v>
      </c>
      <c r="N306" s="39">
        <f t="shared" si="52"/>
        <v>130.54539899999997</v>
      </c>
      <c r="O306" s="37">
        <v>-814.14696900000001</v>
      </c>
      <c r="P306" s="40">
        <v>0</v>
      </c>
      <c r="Q306" s="40">
        <v>0</v>
      </c>
      <c r="R306" s="41">
        <f t="shared" si="53"/>
        <v>0</v>
      </c>
      <c r="S306" s="42">
        <v>7182</v>
      </c>
    </row>
    <row r="307" spans="2:19" ht="15.75" x14ac:dyDescent="0.25">
      <c r="B307" s="55">
        <f t="shared" si="54"/>
        <v>4</v>
      </c>
      <c r="C307" s="55" t="s">
        <v>505</v>
      </c>
      <c r="D307" s="35" t="s">
        <v>506</v>
      </c>
      <c r="E307" s="36">
        <v>42551</v>
      </c>
      <c r="F307" s="37">
        <v>104.5789</v>
      </c>
      <c r="G307" s="38">
        <v>10</v>
      </c>
      <c r="H307" s="39">
        <f t="shared" si="51"/>
        <v>10.457890000000001</v>
      </c>
      <c r="I307" s="37">
        <v>253.931535</v>
      </c>
      <c r="J307" s="37">
        <v>780.375497</v>
      </c>
      <c r="K307" s="37">
        <v>1251.872885</v>
      </c>
      <c r="L307" s="37">
        <v>19.009663</v>
      </c>
      <c r="M307" s="37">
        <v>54.820016000000003</v>
      </c>
      <c r="N307" s="39">
        <f t="shared" si="52"/>
        <v>13.151119000000001</v>
      </c>
      <c r="O307" s="37">
        <v>41.668897000000001</v>
      </c>
      <c r="P307" s="40">
        <v>0</v>
      </c>
      <c r="Q307" s="40">
        <v>0</v>
      </c>
      <c r="R307" s="41">
        <f t="shared" si="53"/>
        <v>0</v>
      </c>
      <c r="S307" s="42">
        <v>610</v>
      </c>
    </row>
    <row r="308" spans="2:19" ht="15.75" x14ac:dyDescent="0.25">
      <c r="B308" s="55">
        <f t="shared" si="54"/>
        <v>5</v>
      </c>
      <c r="C308" s="55" t="s">
        <v>507</v>
      </c>
      <c r="D308" s="35" t="s">
        <v>508</v>
      </c>
      <c r="E308" s="36">
        <v>42551</v>
      </c>
      <c r="F308" s="37">
        <v>30</v>
      </c>
      <c r="G308" s="38">
        <v>10</v>
      </c>
      <c r="H308" s="39">
        <f t="shared" si="51"/>
        <v>3</v>
      </c>
      <c r="I308" s="37">
        <v>3639.5527189999998</v>
      </c>
      <c r="J308" s="37">
        <v>4705.2154719999999</v>
      </c>
      <c r="K308" s="37">
        <v>6637.4114090000003</v>
      </c>
      <c r="L308" s="37">
        <v>69.828738000000001</v>
      </c>
      <c r="M308" s="37">
        <v>321.19526500000001</v>
      </c>
      <c r="N308" s="39">
        <f t="shared" si="52"/>
        <v>100.84532100000001</v>
      </c>
      <c r="O308" s="37">
        <v>220.34994399999999</v>
      </c>
      <c r="P308" s="40">
        <f>100</f>
        <v>100</v>
      </c>
      <c r="Q308" s="40">
        <v>0</v>
      </c>
      <c r="R308" s="41">
        <f t="shared" si="53"/>
        <v>100</v>
      </c>
      <c r="S308" s="42">
        <v>340</v>
      </c>
    </row>
    <row r="309" spans="2:19" ht="15.75" x14ac:dyDescent="0.25">
      <c r="B309" s="55">
        <f t="shared" si="54"/>
        <v>6</v>
      </c>
      <c r="C309" s="55" t="s">
        <v>509</v>
      </c>
      <c r="D309" s="35" t="s">
        <v>510</v>
      </c>
      <c r="E309" s="36">
        <v>42551</v>
      </c>
      <c r="F309" s="37">
        <v>64.319999999999993</v>
      </c>
      <c r="G309" s="38">
        <v>10</v>
      </c>
      <c r="H309" s="39">
        <f t="shared" si="51"/>
        <v>6.4319999999999995</v>
      </c>
      <c r="I309" s="37">
        <v>2759.0506730000002</v>
      </c>
      <c r="J309" s="37">
        <v>6120.3750620000001</v>
      </c>
      <c r="K309" s="37">
        <v>6846.7444919999998</v>
      </c>
      <c r="L309" s="37">
        <v>168.906206</v>
      </c>
      <c r="M309" s="37">
        <v>127.440552</v>
      </c>
      <c r="N309" s="39">
        <f t="shared" si="52"/>
        <v>32.502032</v>
      </c>
      <c r="O309" s="37">
        <v>94.938519999999997</v>
      </c>
      <c r="P309" s="40">
        <f>50</f>
        <v>50</v>
      </c>
      <c r="Q309" s="40">
        <v>0</v>
      </c>
      <c r="R309" s="41">
        <f t="shared" si="53"/>
        <v>50</v>
      </c>
      <c r="S309" s="42">
        <v>585</v>
      </c>
    </row>
    <row r="310" spans="2:19" ht="15.75" x14ac:dyDescent="0.25">
      <c r="B310" s="55">
        <f t="shared" si="54"/>
        <v>7</v>
      </c>
      <c r="C310" s="55" t="s">
        <v>511</v>
      </c>
      <c r="D310" s="35" t="s">
        <v>512</v>
      </c>
      <c r="E310" s="36">
        <v>42551</v>
      </c>
      <c r="F310" s="37">
        <v>1150</v>
      </c>
      <c r="G310" s="38">
        <v>10</v>
      </c>
      <c r="H310" s="39">
        <f t="shared" si="51"/>
        <v>115</v>
      </c>
      <c r="I310" s="37">
        <v>-5588.8951820000002</v>
      </c>
      <c r="J310" s="37">
        <v>13467.684512</v>
      </c>
      <c r="K310" s="37">
        <v>2007.632402</v>
      </c>
      <c r="L310" s="37">
        <v>128.265826</v>
      </c>
      <c r="M310" s="37">
        <v>-379.22984100000002</v>
      </c>
      <c r="N310" s="39">
        <f t="shared" si="52"/>
        <v>10.473465999999974</v>
      </c>
      <c r="O310" s="37">
        <v>-389.703307</v>
      </c>
      <c r="P310" s="40">
        <v>0</v>
      </c>
      <c r="Q310" s="40">
        <v>0</v>
      </c>
      <c r="R310" s="41">
        <f t="shared" si="53"/>
        <v>0</v>
      </c>
      <c r="S310" s="42">
        <v>1729</v>
      </c>
    </row>
    <row r="311" spans="2:19" ht="15.75" x14ac:dyDescent="0.25">
      <c r="B311" s="55">
        <f t="shared" si="54"/>
        <v>8</v>
      </c>
      <c r="C311" s="55" t="s">
        <v>513</v>
      </c>
      <c r="D311" s="35" t="s">
        <v>514</v>
      </c>
      <c r="E311" s="36">
        <v>42551</v>
      </c>
      <c r="F311" s="37">
        <v>800</v>
      </c>
      <c r="G311" s="38">
        <v>10</v>
      </c>
      <c r="H311" s="39">
        <f t="shared" si="51"/>
        <v>80</v>
      </c>
      <c r="I311" s="37">
        <v>4551.9340000000002</v>
      </c>
      <c r="J311" s="37">
        <v>13875.053</v>
      </c>
      <c r="K311" s="37">
        <v>10578.808999999999</v>
      </c>
      <c r="L311" s="37">
        <v>360.00599999999997</v>
      </c>
      <c r="M311" s="37">
        <v>346.67500000000001</v>
      </c>
      <c r="N311" s="39">
        <f t="shared" si="52"/>
        <v>96.132000000000005</v>
      </c>
      <c r="O311" s="37">
        <v>250.54300000000001</v>
      </c>
      <c r="P311" s="40">
        <f>12.55</f>
        <v>12.55</v>
      </c>
      <c r="Q311" s="40">
        <v>0</v>
      </c>
      <c r="R311" s="41">
        <f t="shared" si="53"/>
        <v>12.55</v>
      </c>
      <c r="S311" s="42">
        <v>2249</v>
      </c>
    </row>
    <row r="312" spans="2:19" ht="15.75" x14ac:dyDescent="0.25">
      <c r="B312" s="55">
        <f t="shared" si="54"/>
        <v>9</v>
      </c>
      <c r="C312" s="55" t="s">
        <v>515</v>
      </c>
      <c r="D312" s="35" t="s">
        <v>516</v>
      </c>
      <c r="E312" s="36">
        <v>42735</v>
      </c>
      <c r="F312" s="37">
        <v>590.57799999999997</v>
      </c>
      <c r="G312" s="38">
        <v>10</v>
      </c>
      <c r="H312" s="39">
        <f t="shared" si="51"/>
        <v>59.0578</v>
      </c>
      <c r="I312" s="37">
        <v>2846.056</v>
      </c>
      <c r="J312" s="37">
        <v>3454.3980000000001</v>
      </c>
      <c r="K312" s="37">
        <v>161.23400000000001</v>
      </c>
      <c r="L312" s="37">
        <v>28.292000000000002</v>
      </c>
      <c r="M312" s="37">
        <v>1242.2349999999999</v>
      </c>
      <c r="N312" s="39">
        <f t="shared" si="52"/>
        <v>127.07799999999997</v>
      </c>
      <c r="O312" s="37">
        <v>1115.1569999999999</v>
      </c>
      <c r="P312" s="40">
        <v>50</v>
      </c>
      <c r="Q312" s="40">
        <v>0</v>
      </c>
      <c r="R312" s="41">
        <f t="shared" si="53"/>
        <v>50</v>
      </c>
      <c r="S312" s="42">
        <v>5845</v>
      </c>
    </row>
    <row r="313" spans="2:19" ht="15.75" x14ac:dyDescent="0.25">
      <c r="B313" s="55">
        <f t="shared" si="54"/>
        <v>10</v>
      </c>
      <c r="C313" s="55" t="s">
        <v>517</v>
      </c>
      <c r="D313" s="35" t="s">
        <v>518</v>
      </c>
      <c r="E313" s="36">
        <v>42551</v>
      </c>
      <c r="F313" s="37">
        <v>100</v>
      </c>
      <c r="G313" s="38">
        <v>10</v>
      </c>
      <c r="H313" s="39">
        <f t="shared" si="51"/>
        <v>10</v>
      </c>
      <c r="I313" s="37">
        <v>3790.3022850000002</v>
      </c>
      <c r="J313" s="37">
        <v>7005.5404259999996</v>
      </c>
      <c r="K313" s="37">
        <v>9281.9545600000001</v>
      </c>
      <c r="L313" s="37">
        <v>143.489676</v>
      </c>
      <c r="M313" s="37">
        <v>177.97035</v>
      </c>
      <c r="N313" s="39">
        <f t="shared" si="52"/>
        <v>8.756132000000008</v>
      </c>
      <c r="O313" s="37">
        <v>169.21421799999999</v>
      </c>
      <c r="P313" s="40">
        <f>50</f>
        <v>50</v>
      </c>
      <c r="Q313" s="40">
        <v>0</v>
      </c>
      <c r="R313" s="41">
        <f t="shared" si="53"/>
        <v>50</v>
      </c>
      <c r="S313" s="42">
        <v>758</v>
      </c>
    </row>
    <row r="314" spans="2:19" ht="15.75" x14ac:dyDescent="0.25">
      <c r="B314" s="55">
        <f t="shared" si="54"/>
        <v>11</v>
      </c>
      <c r="C314" s="55" t="s">
        <v>519</v>
      </c>
      <c r="D314" s="35" t="s">
        <v>520</v>
      </c>
      <c r="E314" s="36">
        <v>42551</v>
      </c>
      <c r="F314" s="37">
        <v>2970.7959999999998</v>
      </c>
      <c r="G314" s="38">
        <v>10</v>
      </c>
      <c r="H314" s="39">
        <f t="shared" si="51"/>
        <v>297.07959999999997</v>
      </c>
      <c r="I314" s="37">
        <v>8718.2389999999996</v>
      </c>
      <c r="J314" s="37">
        <v>32169.262999999999</v>
      </c>
      <c r="K314" s="37">
        <v>32274.556</v>
      </c>
      <c r="L314" s="37">
        <v>910.48800000000006</v>
      </c>
      <c r="M314" s="37">
        <v>1334.509</v>
      </c>
      <c r="N314" s="39">
        <f t="shared" si="52"/>
        <v>193.07899999999995</v>
      </c>
      <c r="O314" s="37">
        <v>1141.43</v>
      </c>
      <c r="P314" s="40">
        <f>10+10+10</f>
        <v>30</v>
      </c>
      <c r="Q314" s="40">
        <v>0</v>
      </c>
      <c r="R314" s="41">
        <f t="shared" si="53"/>
        <v>30</v>
      </c>
      <c r="S314" s="42">
        <v>4773</v>
      </c>
    </row>
    <row r="315" spans="2:19" ht="15.75" x14ac:dyDescent="0.25">
      <c r="B315" s="55">
        <f t="shared" si="54"/>
        <v>12</v>
      </c>
      <c r="C315" s="55" t="s">
        <v>521</v>
      </c>
      <c r="D315" s="35" t="s">
        <v>522</v>
      </c>
      <c r="E315" s="36">
        <v>42551</v>
      </c>
      <c r="F315" s="37">
        <v>326.35599999999999</v>
      </c>
      <c r="G315" s="38">
        <v>10</v>
      </c>
      <c r="H315" s="39">
        <f t="shared" si="51"/>
        <v>32.635599999999997</v>
      </c>
      <c r="I315" s="37">
        <v>828.64608799999996</v>
      </c>
      <c r="J315" s="37">
        <v>2809.1934419999998</v>
      </c>
      <c r="K315" s="37">
        <v>4819.9173899999996</v>
      </c>
      <c r="L315" s="37">
        <v>149.438062</v>
      </c>
      <c r="M315" s="37">
        <v>-235.29542799999999</v>
      </c>
      <c r="N315" s="39">
        <f t="shared" si="52"/>
        <v>34.120958000000002</v>
      </c>
      <c r="O315" s="37">
        <v>-269.41638599999999</v>
      </c>
      <c r="P315" s="40">
        <v>0</v>
      </c>
      <c r="Q315" s="40">
        <v>0</v>
      </c>
      <c r="R315" s="41">
        <f t="shared" si="53"/>
        <v>0</v>
      </c>
      <c r="S315" s="42">
        <v>4783</v>
      </c>
    </row>
    <row r="316" spans="2:19" ht="15.75" x14ac:dyDescent="0.25">
      <c r="B316" s="55">
        <f t="shared" si="54"/>
        <v>13</v>
      </c>
      <c r="C316" s="55" t="s">
        <v>523</v>
      </c>
      <c r="D316" s="35" t="s">
        <v>524</v>
      </c>
      <c r="E316" s="36">
        <v>42551</v>
      </c>
      <c r="F316" s="37">
        <v>68.040000000000006</v>
      </c>
      <c r="G316" s="38">
        <v>10</v>
      </c>
      <c r="H316" s="39">
        <f t="shared" si="51"/>
        <v>6.8040000000000003</v>
      </c>
      <c r="I316" s="37">
        <v>18.095870999999999</v>
      </c>
      <c r="J316" s="37">
        <v>304.79707999999999</v>
      </c>
      <c r="K316" s="37">
        <v>208.47296700000001</v>
      </c>
      <c r="L316" s="37">
        <v>6.4902930000000003</v>
      </c>
      <c r="M316" s="37">
        <v>-5.9780600000000002</v>
      </c>
      <c r="N316" s="39">
        <f t="shared" si="52"/>
        <v>2.2232060000000002</v>
      </c>
      <c r="O316" s="37">
        <v>-8.2012660000000004</v>
      </c>
      <c r="P316" s="40">
        <v>0</v>
      </c>
      <c r="Q316" s="40">
        <v>0</v>
      </c>
      <c r="R316" s="41">
        <f t="shared" si="53"/>
        <v>0</v>
      </c>
      <c r="S316" s="42">
        <v>874</v>
      </c>
    </row>
    <row r="317" spans="2:19" ht="15.75" x14ac:dyDescent="0.25">
      <c r="B317" s="55">
        <f t="shared" si="54"/>
        <v>14</v>
      </c>
      <c r="C317" s="55" t="s">
        <v>525</v>
      </c>
      <c r="D317" s="35" t="s">
        <v>526</v>
      </c>
      <c r="E317" s="36">
        <v>42551</v>
      </c>
      <c r="F317" s="37">
        <v>12</v>
      </c>
      <c r="G317" s="38">
        <v>10</v>
      </c>
      <c r="H317" s="39">
        <f t="shared" si="51"/>
        <v>1.2</v>
      </c>
      <c r="I317" s="37">
        <v>426.74498999999997</v>
      </c>
      <c r="J317" s="37">
        <v>437.42380300000002</v>
      </c>
      <c r="K317" s="37">
        <v>12.192558999999999</v>
      </c>
      <c r="L317" s="37">
        <v>7.0837999999999998E-2</v>
      </c>
      <c r="M317" s="37">
        <v>29.768021999999998</v>
      </c>
      <c r="N317" s="39">
        <f t="shared" si="52"/>
        <v>1.3433259999999976</v>
      </c>
      <c r="O317" s="37">
        <v>28.424696000000001</v>
      </c>
      <c r="P317" s="40">
        <f>15</f>
        <v>15</v>
      </c>
      <c r="Q317" s="40">
        <v>0</v>
      </c>
      <c r="R317" s="41">
        <f t="shared" si="53"/>
        <v>15</v>
      </c>
      <c r="S317" s="42">
        <v>931</v>
      </c>
    </row>
    <row r="318" spans="2:19" ht="15.75" x14ac:dyDescent="0.25">
      <c r="B318" s="55">
        <f t="shared" si="54"/>
        <v>15</v>
      </c>
      <c r="C318" s="55" t="s">
        <v>527</v>
      </c>
      <c r="D318" s="35" t="s">
        <v>528</v>
      </c>
      <c r="E318" s="36">
        <v>42551</v>
      </c>
      <c r="F318" s="37">
        <v>64.5</v>
      </c>
      <c r="G318" s="38">
        <v>10</v>
      </c>
      <c r="H318" s="39">
        <f t="shared" si="51"/>
        <v>6.45</v>
      </c>
      <c r="I318" s="37">
        <v>82.364064999999997</v>
      </c>
      <c r="J318" s="37">
        <v>174.653593</v>
      </c>
      <c r="K318" s="37">
        <v>182.671977</v>
      </c>
      <c r="L318" s="37">
        <v>2.088883</v>
      </c>
      <c r="M318" s="37">
        <v>11.625786</v>
      </c>
      <c r="N318" s="39">
        <f t="shared" si="52"/>
        <v>1.859966</v>
      </c>
      <c r="O318" s="37">
        <v>9.7658199999999997</v>
      </c>
      <c r="P318" s="40">
        <f>10</f>
        <v>10</v>
      </c>
      <c r="Q318" s="40">
        <v>0</v>
      </c>
      <c r="R318" s="41">
        <f t="shared" si="53"/>
        <v>10</v>
      </c>
      <c r="S318" s="42">
        <v>1261</v>
      </c>
    </row>
    <row r="319" spans="2:19" ht="15.75" x14ac:dyDescent="0.25">
      <c r="B319" s="55">
        <f t="shared" si="54"/>
        <v>16</v>
      </c>
      <c r="C319" s="55" t="s">
        <v>529</v>
      </c>
      <c r="D319" s="35" t="s">
        <v>530</v>
      </c>
      <c r="E319" s="36">
        <v>42551</v>
      </c>
      <c r="F319" s="37">
        <v>96.6</v>
      </c>
      <c r="G319" s="38">
        <v>10</v>
      </c>
      <c r="H319" s="39">
        <f t="shared" si="51"/>
        <v>9.66</v>
      </c>
      <c r="I319" s="37">
        <v>272.84100000000001</v>
      </c>
      <c r="J319" s="37">
        <v>1477.12</v>
      </c>
      <c r="K319" s="37">
        <v>1466.2670000000001</v>
      </c>
      <c r="L319" s="37">
        <v>41.573</v>
      </c>
      <c r="M319" s="37">
        <v>-141.178</v>
      </c>
      <c r="N319" s="39">
        <f t="shared" si="52"/>
        <v>-39.292999999999992</v>
      </c>
      <c r="O319" s="37">
        <v>-101.88500000000001</v>
      </c>
      <c r="P319" s="40">
        <v>0</v>
      </c>
      <c r="Q319" s="40">
        <v>0</v>
      </c>
      <c r="R319" s="41">
        <f t="shared" si="53"/>
        <v>0</v>
      </c>
      <c r="S319" s="42">
        <v>1228</v>
      </c>
    </row>
    <row r="320" spans="2:19" ht="15.75" x14ac:dyDescent="0.25">
      <c r="B320" s="55">
        <f t="shared" si="54"/>
        <v>17</v>
      </c>
      <c r="C320" s="55" t="s">
        <v>531</v>
      </c>
      <c r="D320" s="47" t="s">
        <v>532</v>
      </c>
      <c r="E320" s="36">
        <v>42551</v>
      </c>
      <c r="F320" s="37">
        <v>324.91205000000002</v>
      </c>
      <c r="G320" s="38">
        <v>10</v>
      </c>
      <c r="H320" s="39">
        <f t="shared" si="51"/>
        <v>32.491205000000001</v>
      </c>
      <c r="I320" s="37">
        <v>-119.257266</v>
      </c>
      <c r="J320" s="37">
        <v>801.378691</v>
      </c>
      <c r="K320" s="37">
        <v>17.894825000000001</v>
      </c>
      <c r="L320" s="37">
        <v>9.8895999999999998E-2</v>
      </c>
      <c r="M320" s="37">
        <v>13.896255999999999</v>
      </c>
      <c r="N320" s="39">
        <f t="shared" si="52"/>
        <v>8.1497189999999993</v>
      </c>
      <c r="O320" s="37">
        <v>5.746537</v>
      </c>
      <c r="P320" s="40">
        <v>0</v>
      </c>
      <c r="Q320" s="40">
        <v>0</v>
      </c>
      <c r="R320" s="41">
        <f t="shared" si="53"/>
        <v>0</v>
      </c>
      <c r="S320" s="42">
        <v>1285</v>
      </c>
    </row>
    <row r="321" spans="2:19" ht="15.75" x14ac:dyDescent="0.25">
      <c r="B321" s="55">
        <f t="shared" si="54"/>
        <v>18</v>
      </c>
      <c r="C321" s="55" t="s">
        <v>533</v>
      </c>
      <c r="D321" s="35" t="s">
        <v>534</v>
      </c>
      <c r="E321" s="36">
        <v>42551</v>
      </c>
      <c r="F321" s="37">
        <v>12.275029999999999</v>
      </c>
      <c r="G321" s="38">
        <v>10</v>
      </c>
      <c r="H321" s="39">
        <f t="shared" si="51"/>
        <v>1.227503</v>
      </c>
      <c r="I321" s="37">
        <v>-25.986083000000001</v>
      </c>
      <c r="J321" s="37">
        <v>449.01860499999998</v>
      </c>
      <c r="K321" s="37">
        <v>0</v>
      </c>
      <c r="L321" s="37">
        <v>0</v>
      </c>
      <c r="M321" s="37">
        <v>-1.169216</v>
      </c>
      <c r="N321" s="39">
        <f t="shared" si="52"/>
        <v>-4.6596109999999999</v>
      </c>
      <c r="O321" s="37">
        <v>3.4903949999999999</v>
      </c>
      <c r="P321" s="40">
        <v>0</v>
      </c>
      <c r="Q321" s="40">
        <v>0</v>
      </c>
      <c r="R321" s="41">
        <f t="shared" si="53"/>
        <v>0</v>
      </c>
      <c r="S321" s="42">
        <v>434</v>
      </c>
    </row>
    <row r="322" spans="2:19" ht="15.75" x14ac:dyDescent="0.25">
      <c r="B322" s="55">
        <f t="shared" si="54"/>
        <v>19</v>
      </c>
      <c r="C322" s="55" t="s">
        <v>535</v>
      </c>
      <c r="D322" s="35" t="s">
        <v>536</v>
      </c>
      <c r="E322" s="36">
        <v>42551</v>
      </c>
      <c r="F322" s="37">
        <v>509.11011000000002</v>
      </c>
      <c r="G322" s="38">
        <v>10</v>
      </c>
      <c r="H322" s="39">
        <f t="shared" si="51"/>
        <v>50.911011000000002</v>
      </c>
      <c r="I322" s="37">
        <v>867.35022400000003</v>
      </c>
      <c r="J322" s="37">
        <v>6352.9152270000004</v>
      </c>
      <c r="K322" s="37">
        <v>8551.0918349999993</v>
      </c>
      <c r="L322" s="37">
        <v>450.76414599999998</v>
      </c>
      <c r="M322" s="37">
        <v>202.792463</v>
      </c>
      <c r="N322" s="39">
        <f t="shared" si="52"/>
        <v>83.960087000000001</v>
      </c>
      <c r="O322" s="37">
        <v>118.832376</v>
      </c>
      <c r="P322" s="40">
        <v>0</v>
      </c>
      <c r="Q322" s="40">
        <v>0</v>
      </c>
      <c r="R322" s="41">
        <f t="shared" si="53"/>
        <v>0</v>
      </c>
      <c r="S322" s="42">
        <v>1528</v>
      </c>
    </row>
    <row r="323" spans="2:19" ht="15.75" x14ac:dyDescent="0.25">
      <c r="B323" s="55">
        <f t="shared" si="54"/>
        <v>20</v>
      </c>
      <c r="C323" s="55" t="s">
        <v>537</v>
      </c>
      <c r="D323" s="35" t="s">
        <v>538</v>
      </c>
      <c r="E323" s="36">
        <v>42551</v>
      </c>
      <c r="F323" s="37">
        <v>303.02542999999997</v>
      </c>
      <c r="G323" s="38">
        <v>10</v>
      </c>
      <c r="H323" s="39">
        <f t="shared" si="51"/>
        <v>30.302542999999996</v>
      </c>
      <c r="I323" s="37">
        <v>-269.23838000000001</v>
      </c>
      <c r="J323" s="37">
        <v>806.87908400000003</v>
      </c>
      <c r="K323" s="37">
        <v>29.572664</v>
      </c>
      <c r="L323" s="37">
        <v>1.6022000000000002E-2</v>
      </c>
      <c r="M323" s="37">
        <v>79.301267999999993</v>
      </c>
      <c r="N323" s="39">
        <f t="shared" si="52"/>
        <v>6.7664049999999918</v>
      </c>
      <c r="O323" s="37">
        <v>72.534863000000001</v>
      </c>
      <c r="P323" s="40">
        <v>0</v>
      </c>
      <c r="Q323" s="40">
        <v>0</v>
      </c>
      <c r="R323" s="41">
        <f t="shared" si="53"/>
        <v>0</v>
      </c>
      <c r="S323" s="42">
        <v>2486</v>
      </c>
    </row>
    <row r="324" spans="2:19" ht="15.75" x14ac:dyDescent="0.25">
      <c r="B324" s="55">
        <f t="shared" si="54"/>
        <v>21</v>
      </c>
      <c r="C324" s="55" t="s">
        <v>539</v>
      </c>
      <c r="D324" s="35" t="s">
        <v>540</v>
      </c>
      <c r="E324" s="36">
        <v>42551</v>
      </c>
      <c r="F324" s="37">
        <v>2823.5509999999999</v>
      </c>
      <c r="G324" s="38">
        <v>10</v>
      </c>
      <c r="H324" s="39">
        <f t="shared" si="51"/>
        <v>282.35509999999999</v>
      </c>
      <c r="I324" s="37">
        <v>9160.3389999999999</v>
      </c>
      <c r="J324" s="37">
        <v>19155.717000000001</v>
      </c>
      <c r="K324" s="37">
        <v>16088.302</v>
      </c>
      <c r="L324" s="37">
        <v>337.35700000000003</v>
      </c>
      <c r="M324" s="37">
        <v>2628.1779999999999</v>
      </c>
      <c r="N324" s="39">
        <f t="shared" si="52"/>
        <v>495.96299999999974</v>
      </c>
      <c r="O324" s="37">
        <v>2132.2150000000001</v>
      </c>
      <c r="P324" s="40">
        <f>15+30</f>
        <v>45</v>
      </c>
      <c r="Q324" s="40">
        <f>15</f>
        <v>15</v>
      </c>
      <c r="R324" s="41">
        <f t="shared" si="53"/>
        <v>60</v>
      </c>
      <c r="S324" s="42">
        <v>4741</v>
      </c>
    </row>
    <row r="325" spans="2:19" ht="15.75" x14ac:dyDescent="0.25">
      <c r="B325" s="55">
        <f t="shared" si="54"/>
        <v>22</v>
      </c>
      <c r="C325" s="55" t="s">
        <v>541</v>
      </c>
      <c r="D325" s="35" t="s">
        <v>542</v>
      </c>
      <c r="E325" s="36">
        <v>42551</v>
      </c>
      <c r="F325" s="37">
        <v>150</v>
      </c>
      <c r="G325" s="38">
        <v>10</v>
      </c>
      <c r="H325" s="39">
        <f t="shared" si="51"/>
        <v>15</v>
      </c>
      <c r="I325" s="37">
        <v>4465.6726779999999</v>
      </c>
      <c r="J325" s="37">
        <v>10696.08815</v>
      </c>
      <c r="K325" s="37">
        <v>13663.708498</v>
      </c>
      <c r="L325" s="37">
        <v>416.35610200000002</v>
      </c>
      <c r="M325" s="37">
        <v>2.6341559999999999</v>
      </c>
      <c r="N325" s="39">
        <f t="shared" si="52"/>
        <v>58.793050999999998</v>
      </c>
      <c r="O325" s="37">
        <v>-56.158895000000001</v>
      </c>
      <c r="P325" s="40">
        <v>0</v>
      </c>
      <c r="Q325" s="40">
        <v>0</v>
      </c>
      <c r="R325" s="41">
        <f t="shared" si="53"/>
        <v>0</v>
      </c>
      <c r="S325" s="42">
        <v>158</v>
      </c>
    </row>
    <row r="326" spans="2:19" ht="15.75" x14ac:dyDescent="0.25">
      <c r="B326" s="55">
        <f t="shared" si="54"/>
        <v>23</v>
      </c>
      <c r="C326" s="55" t="s">
        <v>543</v>
      </c>
      <c r="D326" s="35" t="s">
        <v>544</v>
      </c>
      <c r="E326" s="36">
        <v>42551</v>
      </c>
      <c r="F326" s="37">
        <v>188.892</v>
      </c>
      <c r="G326" s="38">
        <v>10</v>
      </c>
      <c r="H326" s="39">
        <f t="shared" si="51"/>
        <v>18.889199999999999</v>
      </c>
      <c r="I326" s="37">
        <v>-272.38499999999999</v>
      </c>
      <c r="J326" s="37">
        <v>31.364999999999998</v>
      </c>
      <c r="K326" s="37">
        <v>0</v>
      </c>
      <c r="L326" s="37">
        <v>6.0000000000000001E-3</v>
      </c>
      <c r="M326" s="37">
        <v>-1.6020000000000001</v>
      </c>
      <c r="N326" s="39">
        <f t="shared" si="52"/>
        <v>0</v>
      </c>
      <c r="O326" s="37">
        <v>-1.6020000000000001</v>
      </c>
      <c r="P326" s="40">
        <v>0</v>
      </c>
      <c r="Q326" s="40">
        <v>0</v>
      </c>
      <c r="R326" s="41">
        <f t="shared" si="53"/>
        <v>0</v>
      </c>
      <c r="S326" s="42">
        <v>2417</v>
      </c>
    </row>
    <row r="327" spans="2:19" ht="15.75" x14ac:dyDescent="0.25">
      <c r="B327" s="55">
        <f t="shared" si="54"/>
        <v>24</v>
      </c>
      <c r="C327" s="55" t="s">
        <v>545</v>
      </c>
      <c r="D327" s="35" t="s">
        <v>546</v>
      </c>
      <c r="E327" s="36">
        <v>42551</v>
      </c>
      <c r="F327" s="37">
        <v>600</v>
      </c>
      <c r="G327" s="38">
        <v>10</v>
      </c>
      <c r="H327" s="39">
        <f t="shared" si="51"/>
        <v>60</v>
      </c>
      <c r="I327" s="37">
        <v>6823.8879999999999</v>
      </c>
      <c r="J327" s="37">
        <v>22730.304</v>
      </c>
      <c r="K327" s="37">
        <v>23183.485000000001</v>
      </c>
      <c r="L327" s="37">
        <v>718.56799999999998</v>
      </c>
      <c r="M327" s="37">
        <v>917.71900000000005</v>
      </c>
      <c r="N327" s="39">
        <f t="shared" si="52"/>
        <v>188.50100000000009</v>
      </c>
      <c r="O327" s="37">
        <v>729.21799999999996</v>
      </c>
      <c r="P327" s="40">
        <f>44</f>
        <v>44</v>
      </c>
      <c r="Q327" s="40">
        <v>0</v>
      </c>
      <c r="R327" s="41">
        <f t="shared" si="53"/>
        <v>44</v>
      </c>
      <c r="S327" s="42">
        <v>1340</v>
      </c>
    </row>
    <row r="328" spans="2:19" ht="15.75" x14ac:dyDescent="0.25">
      <c r="B328" s="55">
        <f t="shared" si="54"/>
        <v>25</v>
      </c>
      <c r="C328" s="55" t="s">
        <v>547</v>
      </c>
      <c r="D328" s="47" t="s">
        <v>548</v>
      </c>
      <c r="E328" s="36">
        <v>42551</v>
      </c>
      <c r="F328" s="71">
        <v>221.05199999999999</v>
      </c>
      <c r="G328" s="72">
        <v>10</v>
      </c>
      <c r="H328" s="73">
        <f t="shared" si="51"/>
        <v>22.1052</v>
      </c>
      <c r="I328" s="71">
        <v>-377.36882700000001</v>
      </c>
      <c r="J328" s="71">
        <v>421.42306400000001</v>
      </c>
      <c r="K328" s="71">
        <v>0</v>
      </c>
      <c r="L328" s="71">
        <v>8.7746469999999999</v>
      </c>
      <c r="M328" s="71">
        <v>-0.17068700000000001</v>
      </c>
      <c r="N328" s="73">
        <f t="shared" si="52"/>
        <v>0</v>
      </c>
      <c r="O328" s="71">
        <v>-0.17068700000000001</v>
      </c>
      <c r="P328" s="74">
        <v>0</v>
      </c>
      <c r="Q328" s="74">
        <v>0</v>
      </c>
      <c r="R328" s="75">
        <f t="shared" si="53"/>
        <v>0</v>
      </c>
      <c r="S328" s="76">
        <v>1782</v>
      </c>
    </row>
    <row r="329" spans="2:19" ht="15.75" x14ac:dyDescent="0.25">
      <c r="B329" s="55">
        <f t="shared" si="54"/>
        <v>26</v>
      </c>
      <c r="C329" s="55" t="s">
        <v>549</v>
      </c>
      <c r="D329" s="35" t="s">
        <v>550</v>
      </c>
      <c r="E329" s="36">
        <v>42551</v>
      </c>
      <c r="F329" s="37">
        <v>54</v>
      </c>
      <c r="G329" s="38">
        <v>10</v>
      </c>
      <c r="H329" s="39">
        <f t="shared" si="51"/>
        <v>5.4</v>
      </c>
      <c r="I329" s="37">
        <v>-41.856760999999999</v>
      </c>
      <c r="J329" s="37">
        <v>39.784956000000001</v>
      </c>
      <c r="K329" s="37">
        <v>0</v>
      </c>
      <c r="L329" s="37">
        <v>2.4616189999999998</v>
      </c>
      <c r="M329" s="37">
        <v>0.192966</v>
      </c>
      <c r="N329" s="39">
        <f t="shared" si="52"/>
        <v>0.94688600000000001</v>
      </c>
      <c r="O329" s="37">
        <v>-0.75392000000000003</v>
      </c>
      <c r="P329" s="40">
        <v>0</v>
      </c>
      <c r="Q329" s="40">
        <v>0</v>
      </c>
      <c r="R329" s="41">
        <f t="shared" si="53"/>
        <v>0</v>
      </c>
      <c r="S329" s="42">
        <v>641</v>
      </c>
    </row>
    <row r="330" spans="2:19" ht="15.75" x14ac:dyDescent="0.25">
      <c r="B330" s="55">
        <f t="shared" si="54"/>
        <v>27</v>
      </c>
      <c r="C330" s="55" t="s">
        <v>551</v>
      </c>
      <c r="D330" s="35" t="s">
        <v>552</v>
      </c>
      <c r="E330" s="36">
        <v>42551</v>
      </c>
      <c r="F330" s="37">
        <v>2402.2155600000001</v>
      </c>
      <c r="G330" s="38">
        <v>10</v>
      </c>
      <c r="H330" s="39">
        <f t="shared" si="51"/>
        <v>240.22155600000002</v>
      </c>
      <c r="I330" s="37">
        <v>10987.196821</v>
      </c>
      <c r="J330" s="37">
        <v>28883.995798</v>
      </c>
      <c r="K330" s="37">
        <v>25799.121553000001</v>
      </c>
      <c r="L330" s="37">
        <v>1029.6293780000001</v>
      </c>
      <c r="M330" s="37">
        <v>1613.0182090000001</v>
      </c>
      <c r="N330" s="39">
        <f t="shared" si="52"/>
        <v>284.243516</v>
      </c>
      <c r="O330" s="37">
        <v>1328.7746930000001</v>
      </c>
      <c r="P330" s="40">
        <f>25</f>
        <v>25</v>
      </c>
      <c r="Q330" s="40">
        <v>0</v>
      </c>
      <c r="R330" s="41">
        <f t="shared" si="53"/>
        <v>25</v>
      </c>
      <c r="S330" s="42">
        <v>7575</v>
      </c>
    </row>
    <row r="331" spans="2:19" ht="15.75" x14ac:dyDescent="0.25">
      <c r="B331" s="55">
        <f t="shared" si="54"/>
        <v>28</v>
      </c>
      <c r="C331" s="55" t="s">
        <v>553</v>
      </c>
      <c r="D331" s="35" t="s">
        <v>554</v>
      </c>
      <c r="E331" s="36">
        <v>42551</v>
      </c>
      <c r="F331" s="37">
        <v>3515.9989999999998</v>
      </c>
      <c r="G331" s="38">
        <v>10</v>
      </c>
      <c r="H331" s="39">
        <f t="shared" si="51"/>
        <v>351.59989999999999</v>
      </c>
      <c r="I331" s="37">
        <v>82155.154999999999</v>
      </c>
      <c r="J331" s="37">
        <v>106599.219</v>
      </c>
      <c r="K331" s="37">
        <v>47999.178999999996</v>
      </c>
      <c r="L331" s="37">
        <v>1046.221</v>
      </c>
      <c r="M331" s="37">
        <v>5725.0379999999996</v>
      </c>
      <c r="N331" s="39">
        <f t="shared" si="52"/>
        <v>802</v>
      </c>
      <c r="O331" s="37">
        <v>4923.0379999999996</v>
      </c>
      <c r="P331" s="40">
        <f>50</f>
        <v>50</v>
      </c>
      <c r="Q331" s="40">
        <v>0</v>
      </c>
      <c r="R331" s="41">
        <f t="shared" si="53"/>
        <v>50</v>
      </c>
      <c r="S331" s="42">
        <v>11578</v>
      </c>
    </row>
    <row r="332" spans="2:19" ht="15.75" x14ac:dyDescent="0.25">
      <c r="B332" s="55">
        <f t="shared" si="54"/>
        <v>29</v>
      </c>
      <c r="C332" s="55" t="s">
        <v>555</v>
      </c>
      <c r="D332" s="35" t="s">
        <v>556</v>
      </c>
      <c r="E332" s="36">
        <v>42551</v>
      </c>
      <c r="F332" s="37">
        <v>130</v>
      </c>
      <c r="G332" s="38">
        <v>10</v>
      </c>
      <c r="H332" s="39">
        <f t="shared" si="51"/>
        <v>13</v>
      </c>
      <c r="I332" s="37">
        <v>521.548585</v>
      </c>
      <c r="J332" s="37">
        <v>9256.2544170000001</v>
      </c>
      <c r="K332" s="37">
        <v>5280.1529579999997</v>
      </c>
      <c r="L332" s="37">
        <v>411.55976500000003</v>
      </c>
      <c r="M332" s="37">
        <v>-1724.8152829999999</v>
      </c>
      <c r="N332" s="39">
        <f t="shared" si="52"/>
        <v>-9.3801629999998113</v>
      </c>
      <c r="O332" s="37">
        <v>-1715.4351200000001</v>
      </c>
      <c r="P332" s="40">
        <v>0</v>
      </c>
      <c r="Q332" s="40">
        <v>0</v>
      </c>
      <c r="R332" s="41">
        <f t="shared" si="53"/>
        <v>0</v>
      </c>
      <c r="S332" s="42">
        <v>275</v>
      </c>
    </row>
    <row r="333" spans="2:19" ht="15.75" x14ac:dyDescent="0.25">
      <c r="B333" s="55">
        <f t="shared" si="54"/>
        <v>30</v>
      </c>
      <c r="C333" s="55" t="s">
        <v>557</v>
      </c>
      <c r="D333" s="35" t="s">
        <v>558</v>
      </c>
      <c r="E333" s="36">
        <v>42551</v>
      </c>
      <c r="F333" s="37">
        <v>492.92599999999999</v>
      </c>
      <c r="G333" s="38">
        <v>10</v>
      </c>
      <c r="H333" s="39">
        <f t="shared" si="51"/>
        <v>49.2926</v>
      </c>
      <c r="I333" s="37">
        <v>327.93723799999998</v>
      </c>
      <c r="J333" s="37">
        <v>1690.75378</v>
      </c>
      <c r="K333" s="37">
        <v>1742.0916649999999</v>
      </c>
      <c r="L333" s="37">
        <v>23.647324000000001</v>
      </c>
      <c r="M333" s="37">
        <v>-67.764139</v>
      </c>
      <c r="N333" s="39">
        <f t="shared" si="52"/>
        <v>14.708053000000007</v>
      </c>
      <c r="O333" s="37">
        <v>-82.472192000000007</v>
      </c>
      <c r="P333" s="40">
        <v>0</v>
      </c>
      <c r="Q333" s="40">
        <v>0</v>
      </c>
      <c r="R333" s="41">
        <f t="shared" si="53"/>
        <v>0</v>
      </c>
      <c r="S333" s="42">
        <v>881</v>
      </c>
    </row>
    <row r="334" spans="2:19" ht="15.75" x14ac:dyDescent="0.25">
      <c r="B334" s="55">
        <f t="shared" si="54"/>
        <v>31</v>
      </c>
      <c r="C334" s="55" t="s">
        <v>559</v>
      </c>
      <c r="D334" s="35" t="s">
        <v>560</v>
      </c>
      <c r="E334" s="36">
        <v>42551</v>
      </c>
      <c r="F334" s="37">
        <v>308.10937000000001</v>
      </c>
      <c r="G334" s="38">
        <v>10</v>
      </c>
      <c r="H334" s="39">
        <f t="shared" si="51"/>
        <v>30.810937000000003</v>
      </c>
      <c r="I334" s="37">
        <v>2139.2630210000002</v>
      </c>
      <c r="J334" s="37">
        <v>10151.269598000001</v>
      </c>
      <c r="K334" s="37">
        <v>10049.388784999999</v>
      </c>
      <c r="L334" s="37">
        <v>530.19881999999996</v>
      </c>
      <c r="M334" s="37">
        <v>107.217692</v>
      </c>
      <c r="N334" s="39">
        <f t="shared" si="52"/>
        <v>104.02509999999999</v>
      </c>
      <c r="O334" s="37">
        <v>3.1925919999999999</v>
      </c>
      <c r="P334" s="40">
        <f>5</f>
        <v>5</v>
      </c>
      <c r="Q334" s="40">
        <v>0</v>
      </c>
      <c r="R334" s="41">
        <f t="shared" si="53"/>
        <v>5</v>
      </c>
      <c r="S334" s="42">
        <v>1622</v>
      </c>
    </row>
    <row r="335" spans="2:19" ht="15.75" x14ac:dyDescent="0.25">
      <c r="B335" s="55">
        <f t="shared" si="54"/>
        <v>32</v>
      </c>
      <c r="C335" s="55" t="s">
        <v>561</v>
      </c>
      <c r="D335" s="35" t="s">
        <v>562</v>
      </c>
      <c r="E335" s="36">
        <v>42551</v>
      </c>
      <c r="F335" s="37">
        <v>200.8314</v>
      </c>
      <c r="G335" s="38">
        <v>10</v>
      </c>
      <c r="H335" s="39">
        <f t="shared" si="51"/>
        <v>20.08314</v>
      </c>
      <c r="I335" s="37">
        <v>14903.981167</v>
      </c>
      <c r="J335" s="37">
        <v>31800.656888000001</v>
      </c>
      <c r="K335" s="37">
        <v>23110.564181000002</v>
      </c>
      <c r="L335" s="37">
        <v>873.05936699999995</v>
      </c>
      <c r="M335" s="37">
        <v>1736.7199860000001</v>
      </c>
      <c r="N335" s="39">
        <f t="shared" si="52"/>
        <v>288.50598000000014</v>
      </c>
      <c r="O335" s="37">
        <v>1448.2140059999999</v>
      </c>
      <c r="P335" s="40">
        <f>140</f>
        <v>140</v>
      </c>
      <c r="Q335" s="40">
        <v>0</v>
      </c>
      <c r="R335" s="41">
        <f t="shared" si="53"/>
        <v>140</v>
      </c>
      <c r="S335" s="42">
        <v>444</v>
      </c>
    </row>
    <row r="336" spans="2:19" ht="15.75" x14ac:dyDescent="0.25">
      <c r="B336" s="55">
        <f t="shared" si="54"/>
        <v>33</v>
      </c>
      <c r="C336" s="55" t="s">
        <v>563</v>
      </c>
      <c r="D336" s="35" t="s">
        <v>564</v>
      </c>
      <c r="E336" s="36">
        <v>42551</v>
      </c>
      <c r="F336" s="37">
        <v>40</v>
      </c>
      <c r="G336" s="38">
        <v>10</v>
      </c>
      <c r="H336" s="39">
        <f t="shared" si="51"/>
        <v>4</v>
      </c>
      <c r="I336" s="37">
        <v>-326.18248999999997</v>
      </c>
      <c r="J336" s="37">
        <v>193.56518600000001</v>
      </c>
      <c r="K336" s="37">
        <v>322.73040800000001</v>
      </c>
      <c r="L336" s="37">
        <v>34.515281000000002</v>
      </c>
      <c r="M336" s="37">
        <v>-179.852271</v>
      </c>
      <c r="N336" s="39">
        <f t="shared" si="52"/>
        <v>3.771694999999994</v>
      </c>
      <c r="O336" s="37">
        <v>-183.623966</v>
      </c>
      <c r="P336" s="40">
        <v>0</v>
      </c>
      <c r="Q336" s="40">
        <v>0</v>
      </c>
      <c r="R336" s="41">
        <f t="shared" si="53"/>
        <v>0</v>
      </c>
      <c r="S336" s="42">
        <v>247</v>
      </c>
    </row>
    <row r="337" spans="2:19" ht="15.75" x14ac:dyDescent="0.25">
      <c r="B337" s="55">
        <f t="shared" si="54"/>
        <v>34</v>
      </c>
      <c r="C337" s="55" t="s">
        <v>565</v>
      </c>
      <c r="D337" s="35" t="s">
        <v>566</v>
      </c>
      <c r="E337" s="36">
        <v>42551</v>
      </c>
      <c r="F337" s="37">
        <v>196.875</v>
      </c>
      <c r="G337" s="38">
        <v>10</v>
      </c>
      <c r="H337" s="39">
        <f t="shared" si="51"/>
        <v>19.6875</v>
      </c>
      <c r="I337" s="37">
        <v>15364.414934</v>
      </c>
      <c r="J337" s="37">
        <v>26526.287604000001</v>
      </c>
      <c r="K337" s="37">
        <v>12478.390364000001</v>
      </c>
      <c r="L337" s="37">
        <v>424.43909500000001</v>
      </c>
      <c r="M337" s="37">
        <v>1501.9986630000001</v>
      </c>
      <c r="N337" s="39">
        <f t="shared" si="52"/>
        <v>100.26837999999998</v>
      </c>
      <c r="O337" s="37">
        <v>1401.7302830000001</v>
      </c>
      <c r="P337" s="40">
        <f>140</f>
        <v>140</v>
      </c>
      <c r="Q337" s="40">
        <v>0</v>
      </c>
      <c r="R337" s="41">
        <f t="shared" si="53"/>
        <v>140</v>
      </c>
      <c r="S337" s="42">
        <v>742</v>
      </c>
    </row>
    <row r="338" spans="2:19" ht="15.75" x14ac:dyDescent="0.25">
      <c r="B338" s="55">
        <f t="shared" si="54"/>
        <v>35</v>
      </c>
      <c r="C338" s="34" t="s">
        <v>567</v>
      </c>
      <c r="D338" s="35" t="s">
        <v>568</v>
      </c>
      <c r="E338" s="36">
        <v>42551</v>
      </c>
      <c r="F338" s="37">
        <v>200.9145</v>
      </c>
      <c r="G338" s="38">
        <v>10</v>
      </c>
      <c r="H338" s="39">
        <f t="shared" si="51"/>
        <v>20.091450000000002</v>
      </c>
      <c r="I338" s="37">
        <v>518.01223000000005</v>
      </c>
      <c r="J338" s="37">
        <v>520.17050300000005</v>
      </c>
      <c r="K338" s="37">
        <v>41.527076999999998</v>
      </c>
      <c r="L338" s="37">
        <v>0</v>
      </c>
      <c r="M338" s="37">
        <v>37.114320999999997</v>
      </c>
      <c r="N338" s="39">
        <f t="shared" si="52"/>
        <v>5.3243349999999978</v>
      </c>
      <c r="O338" s="37">
        <v>31.789985999999999</v>
      </c>
      <c r="P338" s="40">
        <f>10</f>
        <v>10</v>
      </c>
      <c r="Q338" s="40">
        <v>0</v>
      </c>
      <c r="R338" s="41">
        <f t="shared" si="53"/>
        <v>10</v>
      </c>
      <c r="S338" s="42">
        <v>790</v>
      </c>
    </row>
    <row r="339" spans="2:19" ht="15.75" x14ac:dyDescent="0.25">
      <c r="B339" s="55">
        <f t="shared" si="54"/>
        <v>36</v>
      </c>
      <c r="C339" s="55" t="s">
        <v>569</v>
      </c>
      <c r="D339" s="35" t="s">
        <v>570</v>
      </c>
      <c r="E339" s="36">
        <v>42551</v>
      </c>
      <c r="F339" s="37">
        <v>86.4</v>
      </c>
      <c r="G339" s="38">
        <v>10</v>
      </c>
      <c r="H339" s="39">
        <f t="shared" si="51"/>
        <v>8.64</v>
      </c>
      <c r="I339" s="37">
        <v>641.44799999999998</v>
      </c>
      <c r="J339" s="37">
        <v>2013.577</v>
      </c>
      <c r="K339" s="37">
        <v>2802.6129999999998</v>
      </c>
      <c r="L339" s="37">
        <v>40.24</v>
      </c>
      <c r="M339" s="37">
        <v>-84.228999999999999</v>
      </c>
      <c r="N339" s="39">
        <f t="shared" si="52"/>
        <v>26.869</v>
      </c>
      <c r="O339" s="37">
        <v>-111.098</v>
      </c>
      <c r="P339" s="40">
        <v>0</v>
      </c>
      <c r="Q339" s="40">
        <v>0</v>
      </c>
      <c r="R339" s="41">
        <f t="shared" si="53"/>
        <v>0</v>
      </c>
      <c r="S339" s="42">
        <v>1014</v>
      </c>
    </row>
    <row r="340" spans="2:19" ht="15.75" x14ac:dyDescent="0.25">
      <c r="B340" s="55">
        <f t="shared" si="54"/>
        <v>37</v>
      </c>
      <c r="C340" s="55" t="s">
        <v>571</v>
      </c>
      <c r="D340" s="35" t="s">
        <v>572</v>
      </c>
      <c r="E340" s="36">
        <v>42551</v>
      </c>
      <c r="F340" s="37">
        <v>263.53800000000001</v>
      </c>
      <c r="G340" s="38">
        <v>10</v>
      </c>
      <c r="H340" s="39">
        <f t="shared" si="51"/>
        <v>26.3538</v>
      </c>
      <c r="I340" s="37">
        <v>4854.8220000000001</v>
      </c>
      <c r="J340" s="37">
        <v>6803.9620000000004</v>
      </c>
      <c r="K340" s="37">
        <v>7712.8850000000002</v>
      </c>
      <c r="L340" s="37">
        <v>62.09</v>
      </c>
      <c r="M340" s="37">
        <v>492.51499999999999</v>
      </c>
      <c r="N340" s="39">
        <f t="shared" si="52"/>
        <v>67.296999999999969</v>
      </c>
      <c r="O340" s="37">
        <v>425.21800000000002</v>
      </c>
      <c r="P340" s="40">
        <v>50</v>
      </c>
      <c r="Q340" s="40">
        <f>10</f>
        <v>10</v>
      </c>
      <c r="R340" s="41">
        <f t="shared" si="53"/>
        <v>60</v>
      </c>
      <c r="S340" s="42">
        <v>713</v>
      </c>
    </row>
    <row r="341" spans="2:19" ht="15.75" x14ac:dyDescent="0.25">
      <c r="B341" s="55">
        <f t="shared" si="54"/>
        <v>38</v>
      </c>
      <c r="C341" s="55" t="s">
        <v>573</v>
      </c>
      <c r="D341" s="35" t="s">
        <v>574</v>
      </c>
      <c r="E341" s="36">
        <v>42551</v>
      </c>
      <c r="F341" s="37">
        <v>170</v>
      </c>
      <c r="G341" s="38">
        <v>10</v>
      </c>
      <c r="H341" s="39">
        <f t="shared" si="51"/>
        <v>17</v>
      </c>
      <c r="I341" s="37">
        <v>360.538434</v>
      </c>
      <c r="J341" s="37">
        <v>1922.5853420000001</v>
      </c>
      <c r="K341" s="37">
        <v>2700.457328</v>
      </c>
      <c r="L341" s="37">
        <v>6.9574629999999997</v>
      </c>
      <c r="M341" s="37">
        <v>168.74432999999999</v>
      </c>
      <c r="N341" s="39">
        <f t="shared" si="52"/>
        <v>23.911588999999992</v>
      </c>
      <c r="O341" s="37">
        <v>144.832741</v>
      </c>
      <c r="P341" s="40">
        <v>0</v>
      </c>
      <c r="Q341" s="40">
        <v>0</v>
      </c>
      <c r="R341" s="41">
        <f t="shared" si="53"/>
        <v>0</v>
      </c>
      <c r="S341" s="42">
        <v>890</v>
      </c>
    </row>
    <row r="342" spans="2:19" ht="15.75" x14ac:dyDescent="0.25">
      <c r="B342" s="55">
        <f t="shared" si="54"/>
        <v>39</v>
      </c>
      <c r="C342" s="55" t="s">
        <v>575</v>
      </c>
      <c r="D342" s="35" t="s">
        <v>576</v>
      </c>
      <c r="E342" s="36">
        <v>42551</v>
      </c>
      <c r="F342" s="37">
        <v>1657.32554</v>
      </c>
      <c r="G342" s="38">
        <v>10</v>
      </c>
      <c r="H342" s="39">
        <f t="shared" si="51"/>
        <v>165.73255399999999</v>
      </c>
      <c r="I342" s="37">
        <v>3234.4223339999999</v>
      </c>
      <c r="J342" s="37">
        <v>7621.0039779999997</v>
      </c>
      <c r="K342" s="37">
        <v>6699.1996909999998</v>
      </c>
      <c r="L342" s="37">
        <v>140.07114300000001</v>
      </c>
      <c r="M342" s="37">
        <v>321.16087299999998</v>
      </c>
      <c r="N342" s="39">
        <f t="shared" si="52"/>
        <v>13.096869999999967</v>
      </c>
      <c r="O342" s="37">
        <v>308.06400300000001</v>
      </c>
      <c r="P342" s="40">
        <v>0</v>
      </c>
      <c r="Q342" s="40">
        <f>10</f>
        <v>10</v>
      </c>
      <c r="R342" s="41">
        <f t="shared" si="53"/>
        <v>10</v>
      </c>
      <c r="S342" s="42">
        <v>3335</v>
      </c>
    </row>
    <row r="343" spans="2:19" ht="15.75" x14ac:dyDescent="0.25">
      <c r="B343" s="70"/>
      <c r="C343" s="70"/>
      <c r="D343" s="77"/>
      <c r="E343" s="64"/>
      <c r="F343" s="78"/>
      <c r="G343" s="43"/>
      <c r="H343" s="79"/>
      <c r="I343" s="78"/>
      <c r="J343" s="78"/>
      <c r="K343" s="78"/>
      <c r="L343" s="78"/>
      <c r="M343" s="78"/>
      <c r="N343" s="79"/>
      <c r="O343" s="78"/>
      <c r="P343" s="80"/>
      <c r="Q343" s="80"/>
      <c r="R343" s="81"/>
      <c r="S343" s="82"/>
    </row>
    <row r="344" spans="2:19" ht="18.75" x14ac:dyDescent="0.3">
      <c r="B344" s="29"/>
      <c r="C344" s="29"/>
      <c r="D344" s="57" t="s">
        <v>45</v>
      </c>
      <c r="E344" s="29"/>
      <c r="F344" s="29"/>
      <c r="G344" s="43"/>
      <c r="H344" s="44"/>
      <c r="I344" s="31"/>
      <c r="J344" s="31"/>
      <c r="K344" s="31"/>
      <c r="L344" s="31"/>
      <c r="M344" s="31"/>
      <c r="N344" s="45"/>
      <c r="O344" s="31"/>
      <c r="P344" s="31"/>
      <c r="Q344" s="31"/>
      <c r="R344" s="45"/>
      <c r="S344" s="31"/>
    </row>
    <row r="345" spans="2:19" ht="15.75" x14ac:dyDescent="0.25">
      <c r="B345" s="55">
        <v>1</v>
      </c>
      <c r="C345" s="55" t="s">
        <v>577</v>
      </c>
      <c r="D345" s="35" t="s">
        <v>578</v>
      </c>
      <c r="E345" s="36">
        <v>42551</v>
      </c>
      <c r="F345" s="37">
        <v>40</v>
      </c>
      <c r="G345" s="38">
        <v>10</v>
      </c>
      <c r="H345" s="39">
        <f t="shared" ref="H345:H357" si="55">+F345/G345</f>
        <v>4</v>
      </c>
      <c r="I345" s="37">
        <v>-293.59794499999998</v>
      </c>
      <c r="J345" s="37">
        <v>301.51299799999998</v>
      </c>
      <c r="K345" s="37">
        <v>0</v>
      </c>
      <c r="L345" s="37">
        <v>6.2860339999999999</v>
      </c>
      <c r="M345" s="37">
        <v>-15.251559</v>
      </c>
      <c r="N345" s="39">
        <f t="shared" ref="N345:N357" si="56">+M345-O345</f>
        <v>0</v>
      </c>
      <c r="O345" s="37">
        <v>-15.251559</v>
      </c>
      <c r="P345" s="40">
        <v>0</v>
      </c>
      <c r="Q345" s="40">
        <v>0</v>
      </c>
      <c r="R345" s="41">
        <f t="shared" ref="R345:R357" si="57">SUM(P345:Q345)</f>
        <v>0</v>
      </c>
      <c r="S345" s="42">
        <v>1055</v>
      </c>
    </row>
    <row r="346" spans="2:19" ht="15.75" x14ac:dyDescent="0.25">
      <c r="B346" s="55">
        <f t="shared" ref="B346:B357" si="58">+B345+1</f>
        <v>2</v>
      </c>
      <c r="C346" s="55" t="s">
        <v>579</v>
      </c>
      <c r="D346" s="35" t="s">
        <v>580</v>
      </c>
      <c r="E346" s="36">
        <v>42551</v>
      </c>
      <c r="F346" s="37"/>
      <c r="G346" s="38">
        <v>10</v>
      </c>
      <c r="H346" s="39">
        <f t="shared" si="55"/>
        <v>0</v>
      </c>
      <c r="I346" s="37"/>
      <c r="J346" s="37"/>
      <c r="K346" s="37"/>
      <c r="L346" s="37"/>
      <c r="M346" s="37"/>
      <c r="N346" s="39">
        <f t="shared" si="56"/>
        <v>0</v>
      </c>
      <c r="O346" s="37"/>
      <c r="P346" s="40"/>
      <c r="Q346" s="40"/>
      <c r="R346" s="41">
        <f t="shared" si="57"/>
        <v>0</v>
      </c>
      <c r="S346" s="42"/>
    </row>
    <row r="347" spans="2:19" ht="15.75" x14ac:dyDescent="0.25">
      <c r="B347" s="55">
        <f t="shared" si="58"/>
        <v>3</v>
      </c>
      <c r="C347" s="55" t="s">
        <v>581</v>
      </c>
      <c r="D347" s="35" t="s">
        <v>582</v>
      </c>
      <c r="E347" s="36">
        <v>42551</v>
      </c>
      <c r="F347" s="37">
        <v>20</v>
      </c>
      <c r="G347" s="38">
        <v>10</v>
      </c>
      <c r="H347" s="39">
        <f>+F347/G347</f>
        <v>2</v>
      </c>
      <c r="I347" s="37">
        <v>-251.71938399999999</v>
      </c>
      <c r="J347" s="37">
        <v>41.75047</v>
      </c>
      <c r="K347" s="37">
        <v>0</v>
      </c>
      <c r="L347" s="37">
        <v>2.039E-3</v>
      </c>
      <c r="M347" s="37">
        <v>-1.247987</v>
      </c>
      <c r="N347" s="39">
        <f>+M347-O347</f>
        <v>0</v>
      </c>
      <c r="O347" s="37">
        <v>-1.247987</v>
      </c>
      <c r="P347" s="40">
        <v>0</v>
      </c>
      <c r="Q347" s="40">
        <v>0</v>
      </c>
      <c r="R347" s="41">
        <f>SUM(P347:Q347)</f>
        <v>0</v>
      </c>
      <c r="S347" s="42">
        <v>126</v>
      </c>
    </row>
    <row r="348" spans="2:19" ht="15.75" x14ac:dyDescent="0.25">
      <c r="B348" s="55">
        <f t="shared" si="58"/>
        <v>4</v>
      </c>
      <c r="C348" s="55" t="s">
        <v>583</v>
      </c>
      <c r="D348" s="35" t="s">
        <v>584</v>
      </c>
      <c r="E348" s="36">
        <v>42551</v>
      </c>
      <c r="F348" s="37"/>
      <c r="G348" s="38">
        <v>10</v>
      </c>
      <c r="H348" s="39">
        <f t="shared" si="55"/>
        <v>0</v>
      </c>
      <c r="I348" s="37"/>
      <c r="J348" s="37"/>
      <c r="K348" s="37"/>
      <c r="L348" s="37"/>
      <c r="M348" s="37"/>
      <c r="N348" s="39">
        <f t="shared" si="56"/>
        <v>0</v>
      </c>
      <c r="O348" s="37"/>
      <c r="P348" s="40"/>
      <c r="Q348" s="40"/>
      <c r="R348" s="41">
        <f t="shared" si="57"/>
        <v>0</v>
      </c>
      <c r="S348" s="42"/>
    </row>
    <row r="349" spans="2:19" ht="15.75" x14ac:dyDescent="0.25">
      <c r="B349" s="55">
        <f t="shared" si="58"/>
        <v>5</v>
      </c>
      <c r="C349" s="55" t="s">
        <v>585</v>
      </c>
      <c r="D349" s="35" t="s">
        <v>586</v>
      </c>
      <c r="E349" s="36">
        <v>42551</v>
      </c>
      <c r="F349" s="37">
        <v>132.71600000000001</v>
      </c>
      <c r="G349" s="38">
        <v>10</v>
      </c>
      <c r="H349" s="39">
        <f t="shared" si="55"/>
        <v>13.271600000000001</v>
      </c>
      <c r="I349" s="37">
        <v>-122.49017600000001</v>
      </c>
      <c r="J349" s="37">
        <v>493.05029999999999</v>
      </c>
      <c r="K349" s="37">
        <v>90.100735999999998</v>
      </c>
      <c r="L349" s="37">
        <v>0.25952399999999998</v>
      </c>
      <c r="M349" s="37">
        <v>-27.718330999999999</v>
      </c>
      <c r="N349" s="39">
        <f t="shared" si="56"/>
        <v>-19.899723999999999</v>
      </c>
      <c r="O349" s="37">
        <v>-7.8186070000000001</v>
      </c>
      <c r="P349" s="40">
        <v>0</v>
      </c>
      <c r="Q349" s="40">
        <v>0</v>
      </c>
      <c r="R349" s="41">
        <f t="shared" si="57"/>
        <v>0</v>
      </c>
      <c r="S349" s="42">
        <v>293</v>
      </c>
    </row>
    <row r="350" spans="2:19" ht="15.75" x14ac:dyDescent="0.25">
      <c r="B350" s="55">
        <f t="shared" si="58"/>
        <v>6</v>
      </c>
      <c r="C350" s="55" t="s">
        <v>587</v>
      </c>
      <c r="D350" s="35" t="s">
        <v>588</v>
      </c>
      <c r="E350" s="36">
        <v>42551</v>
      </c>
      <c r="F350" s="37">
        <v>106.259</v>
      </c>
      <c r="G350" s="38">
        <v>10</v>
      </c>
      <c r="H350" s="39">
        <f t="shared" si="55"/>
        <v>10.6259</v>
      </c>
      <c r="I350" s="37">
        <v>-644.57299999999998</v>
      </c>
      <c r="J350" s="37">
        <v>614.173</v>
      </c>
      <c r="K350" s="37">
        <v>0</v>
      </c>
      <c r="L350" s="37">
        <v>0</v>
      </c>
      <c r="M350" s="37">
        <v>-15.858000000000001</v>
      </c>
      <c r="N350" s="39">
        <f t="shared" si="56"/>
        <v>0</v>
      </c>
      <c r="O350" s="37">
        <v>-15.858000000000001</v>
      </c>
      <c r="P350" s="40">
        <v>0</v>
      </c>
      <c r="Q350" s="40">
        <v>0</v>
      </c>
      <c r="R350" s="41">
        <f t="shared" si="57"/>
        <v>0</v>
      </c>
      <c r="S350" s="42">
        <v>1019</v>
      </c>
    </row>
    <row r="351" spans="2:19" ht="15.75" x14ac:dyDescent="0.25">
      <c r="B351" s="55">
        <f t="shared" si="58"/>
        <v>7</v>
      </c>
      <c r="C351" s="55" t="s">
        <v>589</v>
      </c>
      <c r="D351" s="35" t="s">
        <v>590</v>
      </c>
      <c r="E351" s="36">
        <v>42551</v>
      </c>
      <c r="F351" s="37"/>
      <c r="G351" s="38">
        <v>10</v>
      </c>
      <c r="H351" s="39">
        <f t="shared" si="55"/>
        <v>0</v>
      </c>
      <c r="I351" s="37"/>
      <c r="J351" s="37"/>
      <c r="K351" s="37"/>
      <c r="L351" s="37"/>
      <c r="M351" s="37"/>
      <c r="N351" s="39">
        <f t="shared" si="56"/>
        <v>0</v>
      </c>
      <c r="O351" s="37"/>
      <c r="P351" s="40"/>
      <c r="Q351" s="40"/>
      <c r="R351" s="41">
        <f t="shared" si="57"/>
        <v>0</v>
      </c>
      <c r="S351" s="42"/>
    </row>
    <row r="352" spans="2:19" ht="15.75" x14ac:dyDescent="0.25">
      <c r="B352" s="55">
        <f t="shared" si="58"/>
        <v>8</v>
      </c>
      <c r="C352" s="55" t="s">
        <v>591</v>
      </c>
      <c r="D352" s="47" t="s">
        <v>592</v>
      </c>
      <c r="E352" s="36">
        <v>42551</v>
      </c>
      <c r="F352" s="71">
        <v>242</v>
      </c>
      <c r="G352" s="72">
        <v>10</v>
      </c>
      <c r="H352" s="73">
        <f t="shared" si="55"/>
        <v>24.2</v>
      </c>
      <c r="I352" s="71">
        <v>-2051.920615</v>
      </c>
      <c r="J352" s="71">
        <v>2017.552236</v>
      </c>
      <c r="K352" s="71">
        <v>269.91119099999997</v>
      </c>
      <c r="L352" s="71">
        <v>4.5669999999999999E-3</v>
      </c>
      <c r="M352" s="71">
        <v>-142.255955</v>
      </c>
      <c r="N352" s="73">
        <f t="shared" si="56"/>
        <v>-8.5112550000000056</v>
      </c>
      <c r="O352" s="71">
        <v>-133.74469999999999</v>
      </c>
      <c r="P352" s="74">
        <v>0</v>
      </c>
      <c r="Q352" s="74">
        <v>0</v>
      </c>
      <c r="R352" s="75">
        <f t="shared" si="57"/>
        <v>0</v>
      </c>
      <c r="S352" s="76">
        <v>381</v>
      </c>
    </row>
    <row r="353" spans="2:19" ht="15.75" x14ac:dyDescent="0.25">
      <c r="B353" s="55">
        <f t="shared" si="58"/>
        <v>9</v>
      </c>
      <c r="C353" s="55" t="s">
        <v>593</v>
      </c>
      <c r="D353" s="35" t="s">
        <v>594</v>
      </c>
      <c r="E353" s="36">
        <v>42551</v>
      </c>
      <c r="F353" s="37">
        <v>173.52329</v>
      </c>
      <c r="G353" s="38">
        <v>10</v>
      </c>
      <c r="H353" s="39">
        <f>+F353/G353</f>
        <v>17.352329000000001</v>
      </c>
      <c r="I353" s="37">
        <v>-2717.6987680000002</v>
      </c>
      <c r="J353" s="37">
        <v>1944.9565259999999</v>
      </c>
      <c r="K353" s="37">
        <v>60.495592000000002</v>
      </c>
      <c r="L353" s="37">
        <v>15.113147</v>
      </c>
      <c r="M353" s="37">
        <v>-153.697791</v>
      </c>
      <c r="N353" s="39">
        <f>+M353-O353</f>
        <v>26.210566999999998</v>
      </c>
      <c r="O353" s="37">
        <v>-179.90835799999999</v>
      </c>
      <c r="P353" s="40">
        <v>0</v>
      </c>
      <c r="Q353" s="40">
        <v>0</v>
      </c>
      <c r="R353" s="41">
        <f>SUM(P353:Q353)</f>
        <v>0</v>
      </c>
      <c r="S353" s="42">
        <v>2884</v>
      </c>
    </row>
    <row r="354" spans="2:19" ht="15.75" x14ac:dyDescent="0.25">
      <c r="B354" s="55">
        <f t="shared" si="58"/>
        <v>10</v>
      </c>
      <c r="C354" s="55" t="s">
        <v>595</v>
      </c>
      <c r="D354" s="35" t="s">
        <v>596</v>
      </c>
      <c r="E354" s="36">
        <v>42551</v>
      </c>
      <c r="F354" s="37"/>
      <c r="G354" s="38">
        <v>10</v>
      </c>
      <c r="H354" s="39">
        <f t="shared" si="55"/>
        <v>0</v>
      </c>
      <c r="I354" s="37"/>
      <c r="J354" s="37"/>
      <c r="K354" s="37"/>
      <c r="L354" s="37"/>
      <c r="M354" s="37"/>
      <c r="N354" s="39">
        <f t="shared" si="56"/>
        <v>0</v>
      </c>
      <c r="O354" s="37"/>
      <c r="P354" s="40"/>
      <c r="Q354" s="40"/>
      <c r="R354" s="41">
        <f t="shared" si="57"/>
        <v>0</v>
      </c>
      <c r="S354" s="42"/>
    </row>
    <row r="355" spans="2:19" ht="15.75" x14ac:dyDescent="0.25">
      <c r="B355" s="55">
        <f t="shared" si="58"/>
        <v>11</v>
      </c>
      <c r="C355" s="55" t="s">
        <v>597</v>
      </c>
      <c r="D355" s="35" t="s">
        <v>598</v>
      </c>
      <c r="E355" s="36">
        <v>42551</v>
      </c>
      <c r="F355" s="37">
        <v>334.42</v>
      </c>
      <c r="G355" s="38">
        <v>10</v>
      </c>
      <c r="H355" s="39">
        <f t="shared" si="55"/>
        <v>33.442</v>
      </c>
      <c r="I355" s="37"/>
      <c r="J355" s="37"/>
      <c r="K355" s="37"/>
      <c r="L355" s="37"/>
      <c r="M355" s="37">
        <v>-11.096</v>
      </c>
      <c r="N355" s="39">
        <f t="shared" si="56"/>
        <v>0</v>
      </c>
      <c r="O355" s="37">
        <v>-11.096</v>
      </c>
      <c r="P355" s="40">
        <v>0</v>
      </c>
      <c r="Q355" s="40">
        <v>0</v>
      </c>
      <c r="R355" s="41">
        <f t="shared" si="57"/>
        <v>0</v>
      </c>
      <c r="S355" s="42"/>
    </row>
    <row r="356" spans="2:19" ht="15.75" x14ac:dyDescent="0.25">
      <c r="B356" s="55">
        <f t="shared" si="58"/>
        <v>12</v>
      </c>
      <c r="C356" s="55" t="s">
        <v>599</v>
      </c>
      <c r="D356" s="35" t="s">
        <v>600</v>
      </c>
      <c r="E356" s="36">
        <v>42551</v>
      </c>
      <c r="F356" s="37"/>
      <c r="G356" s="38">
        <v>10</v>
      </c>
      <c r="H356" s="39">
        <f t="shared" si="55"/>
        <v>0</v>
      </c>
      <c r="I356" s="37"/>
      <c r="J356" s="37"/>
      <c r="K356" s="37"/>
      <c r="L356" s="37"/>
      <c r="M356" s="37"/>
      <c r="N356" s="39">
        <f t="shared" si="56"/>
        <v>0</v>
      </c>
      <c r="O356" s="37"/>
      <c r="P356" s="40"/>
      <c r="Q356" s="40"/>
      <c r="R356" s="41">
        <f t="shared" si="57"/>
        <v>0</v>
      </c>
      <c r="S356" s="42"/>
    </row>
    <row r="357" spans="2:19" ht="15.75" x14ac:dyDescent="0.25">
      <c r="B357" s="55">
        <f t="shared" si="58"/>
        <v>13</v>
      </c>
      <c r="C357" s="55" t="s">
        <v>601</v>
      </c>
      <c r="D357" s="35" t="s">
        <v>602</v>
      </c>
      <c r="E357" s="36">
        <v>42551</v>
      </c>
      <c r="F357" s="37">
        <v>98.6</v>
      </c>
      <c r="G357" s="38">
        <v>10</v>
      </c>
      <c r="H357" s="39">
        <f t="shared" si="55"/>
        <v>9.86</v>
      </c>
      <c r="I357" s="37">
        <v>-105.890788</v>
      </c>
      <c r="J357" s="37">
        <v>20.357334000000002</v>
      </c>
      <c r="K357" s="37">
        <v>0</v>
      </c>
      <c r="L357" s="37">
        <v>0</v>
      </c>
      <c r="M357" s="37">
        <v>10.056829</v>
      </c>
      <c r="N357" s="39">
        <f t="shared" si="56"/>
        <v>2.0446369999999998</v>
      </c>
      <c r="O357" s="37">
        <v>8.0121920000000006</v>
      </c>
      <c r="P357" s="40">
        <v>0</v>
      </c>
      <c r="Q357" s="40">
        <v>0</v>
      </c>
      <c r="R357" s="41">
        <f t="shared" si="57"/>
        <v>0</v>
      </c>
      <c r="S357" s="42">
        <v>6137</v>
      </c>
    </row>
    <row r="358" spans="2:19" ht="15.75" x14ac:dyDescent="0.25">
      <c r="B358" s="70"/>
      <c r="C358" s="70"/>
      <c r="D358" s="77"/>
      <c r="E358" s="64"/>
      <c r="F358" s="78"/>
      <c r="G358" s="43"/>
      <c r="H358" s="79"/>
      <c r="I358" s="78"/>
      <c r="J358" s="78"/>
      <c r="K358" s="78"/>
      <c r="L358" s="78"/>
      <c r="M358" s="78"/>
      <c r="N358" s="79"/>
      <c r="O358" s="78"/>
      <c r="P358" s="80"/>
      <c r="Q358" s="80"/>
      <c r="R358" s="81"/>
      <c r="S358" s="82"/>
    </row>
    <row r="359" spans="2:19" ht="15.75" x14ac:dyDescent="0.25">
      <c r="B359" s="34">
        <f>COUNT(B304:B358)</f>
        <v>52</v>
      </c>
      <c r="C359" s="34"/>
      <c r="D359" s="48"/>
      <c r="E359" s="48"/>
      <c r="F359" s="48">
        <f>SUM(F304:F358)</f>
        <v>27854.816057999997</v>
      </c>
      <c r="G359" s="49"/>
      <c r="H359" s="50">
        <f t="shared" ref="H359:O359" si="59">SUM(H304:H358)</f>
        <v>2785.4816058000006</v>
      </c>
      <c r="I359" s="48">
        <f t="shared" si="59"/>
        <v>174248.22614899999</v>
      </c>
      <c r="J359" s="48">
        <f t="shared" si="59"/>
        <v>418239.02097600012</v>
      </c>
      <c r="K359" s="48">
        <f t="shared" si="59"/>
        <v>307516.41944800003</v>
      </c>
      <c r="L359" s="48">
        <f t="shared" si="59"/>
        <v>9994.8830419999995</v>
      </c>
      <c r="M359" s="48">
        <f t="shared" si="59"/>
        <v>15741.074576999998</v>
      </c>
      <c r="N359" s="51">
        <f t="shared" si="59"/>
        <v>3324.3906939999997</v>
      </c>
      <c r="O359" s="48">
        <f t="shared" si="59"/>
        <v>12416.683883000003</v>
      </c>
      <c r="P359" s="52"/>
      <c r="Q359" s="52"/>
      <c r="R359" s="53"/>
      <c r="S359" s="54">
        <f>SUM(S304:S358)</f>
        <v>92728</v>
      </c>
    </row>
    <row r="360" spans="2:19" ht="15.75" x14ac:dyDescent="0.25">
      <c r="B360" s="70"/>
      <c r="C360" s="70"/>
      <c r="D360" s="77"/>
      <c r="E360" s="64"/>
      <c r="F360" s="78"/>
      <c r="G360" s="43"/>
      <c r="H360" s="79"/>
      <c r="I360" s="78"/>
      <c r="J360" s="78"/>
      <c r="K360" s="78"/>
      <c r="L360" s="78"/>
      <c r="M360" s="78"/>
      <c r="N360" s="79"/>
      <c r="O360" s="78"/>
      <c r="P360" s="80"/>
      <c r="Q360" s="80"/>
      <c r="R360" s="81"/>
      <c r="S360" s="82"/>
    </row>
    <row r="361" spans="2:19" ht="15.75" x14ac:dyDescent="0.25">
      <c r="B361" s="70"/>
      <c r="C361" s="70"/>
      <c r="D361" s="77"/>
      <c r="E361" s="64"/>
      <c r="F361" s="78"/>
      <c r="G361" s="43"/>
      <c r="H361" s="79"/>
      <c r="I361" s="78"/>
      <c r="J361" s="78"/>
      <c r="K361" s="78"/>
      <c r="L361" s="78"/>
      <c r="M361" s="78"/>
      <c r="N361" s="79"/>
      <c r="O361" s="78"/>
      <c r="P361" s="80"/>
      <c r="Q361" s="80"/>
      <c r="R361" s="81"/>
      <c r="S361" s="82"/>
    </row>
    <row r="362" spans="2:19" ht="18.75" x14ac:dyDescent="0.3">
      <c r="B362" s="29"/>
      <c r="C362" s="33">
        <v>11</v>
      </c>
      <c r="D362" s="33" t="s">
        <v>603</v>
      </c>
      <c r="E362" s="61"/>
      <c r="F362" s="61"/>
      <c r="G362" s="43"/>
      <c r="H362" s="44"/>
      <c r="I362" s="31"/>
      <c r="J362" s="31"/>
      <c r="K362" s="31"/>
      <c r="L362" s="31"/>
      <c r="M362" s="31"/>
      <c r="N362" s="45"/>
      <c r="O362" s="31"/>
      <c r="P362" s="31"/>
      <c r="Q362" s="31"/>
      <c r="R362" s="45"/>
      <c r="S362" s="31"/>
    </row>
    <row r="363" spans="2:19" ht="15.75" x14ac:dyDescent="0.25">
      <c r="B363" s="70"/>
      <c r="C363" s="70"/>
      <c r="D363" s="77"/>
      <c r="E363" s="64"/>
      <c r="F363" s="78"/>
      <c r="G363" s="43"/>
      <c r="H363" s="79"/>
      <c r="I363" s="78"/>
      <c r="J363" s="78"/>
      <c r="K363" s="78"/>
      <c r="L363" s="78"/>
      <c r="M363" s="78"/>
      <c r="N363" s="79"/>
      <c r="O363" s="78"/>
      <c r="P363" s="80"/>
      <c r="Q363" s="80"/>
      <c r="R363" s="81"/>
      <c r="S363" s="82"/>
    </row>
    <row r="364" spans="2:19" ht="15.75" x14ac:dyDescent="0.25">
      <c r="B364" s="55">
        <v>1</v>
      </c>
      <c r="C364" s="55" t="s">
        <v>604</v>
      </c>
      <c r="D364" s="35" t="s">
        <v>605</v>
      </c>
      <c r="E364" s="36">
        <v>42551</v>
      </c>
      <c r="F364" s="37">
        <v>95.063000000000002</v>
      </c>
      <c r="G364" s="38">
        <v>10</v>
      </c>
      <c r="H364" s="39">
        <f>+F364/G364</f>
        <v>9.5062999999999995</v>
      </c>
      <c r="I364" s="37">
        <v>1027.4860000000001</v>
      </c>
      <c r="J364" s="37">
        <v>2261.221</v>
      </c>
      <c r="K364" s="37">
        <v>749.40800000000002</v>
      </c>
      <c r="L364" s="37">
        <v>5.5069999999999997</v>
      </c>
      <c r="M364" s="37">
        <v>102.562</v>
      </c>
      <c r="N364" s="39">
        <f>+M364-O364</f>
        <v>27.938000000000002</v>
      </c>
      <c r="O364" s="37">
        <v>74.623999999999995</v>
      </c>
      <c r="P364" s="40">
        <f>50</f>
        <v>50</v>
      </c>
      <c r="Q364" s="40">
        <v>0</v>
      </c>
      <c r="R364" s="41">
        <f>SUM(P364:Q364)</f>
        <v>50</v>
      </c>
      <c r="S364" s="42">
        <v>1297</v>
      </c>
    </row>
    <row r="365" spans="2:19" ht="15.75" x14ac:dyDescent="0.25">
      <c r="B365" s="70"/>
      <c r="C365" s="70"/>
      <c r="D365" s="77"/>
      <c r="E365" s="64"/>
      <c r="F365" s="78"/>
      <c r="G365" s="43"/>
      <c r="H365" s="79"/>
      <c r="I365" s="78"/>
      <c r="J365" s="78"/>
      <c r="K365" s="78"/>
      <c r="L365" s="78"/>
      <c r="M365" s="78"/>
      <c r="N365" s="79"/>
      <c r="O365" s="78"/>
      <c r="P365" s="80"/>
      <c r="Q365" s="80"/>
      <c r="R365" s="81"/>
      <c r="S365" s="82"/>
    </row>
    <row r="366" spans="2:19" ht="18.75" x14ac:dyDescent="0.3">
      <c r="B366" s="29"/>
      <c r="C366" s="29"/>
      <c r="D366" s="57" t="s">
        <v>45</v>
      </c>
      <c r="E366" s="29"/>
      <c r="F366" s="29"/>
      <c r="G366" s="43"/>
      <c r="H366" s="44"/>
      <c r="I366" s="31"/>
      <c r="J366" s="31"/>
      <c r="K366" s="31"/>
      <c r="L366" s="31"/>
      <c r="M366" s="31"/>
      <c r="N366" s="45"/>
      <c r="O366" s="31"/>
      <c r="P366" s="31"/>
      <c r="Q366" s="31"/>
      <c r="R366" s="45"/>
      <c r="S366" s="31"/>
    </row>
    <row r="367" spans="2:19" ht="15.75" x14ac:dyDescent="0.25">
      <c r="B367" s="55">
        <v>1</v>
      </c>
      <c r="C367" s="55" t="s">
        <v>606</v>
      </c>
      <c r="D367" s="35" t="s">
        <v>607</v>
      </c>
      <c r="E367" s="36">
        <v>42551</v>
      </c>
      <c r="F367" s="37">
        <v>21.595859999999998</v>
      </c>
      <c r="G367" s="38">
        <v>10</v>
      </c>
      <c r="H367" s="39">
        <f>+F367/G367</f>
        <v>2.159586</v>
      </c>
      <c r="I367" s="37">
        <v>-5.4360439999999999</v>
      </c>
      <c r="J367" s="37">
        <v>4.9033449999999998</v>
      </c>
      <c r="K367" s="37">
        <v>0</v>
      </c>
      <c r="L367" s="37">
        <v>0</v>
      </c>
      <c r="M367" s="37">
        <v>-7.3191999999999993E-2</v>
      </c>
      <c r="N367" s="39">
        <f>+M367-O367</f>
        <v>0</v>
      </c>
      <c r="O367" s="37">
        <v>-7.3191999999999993E-2</v>
      </c>
      <c r="P367" s="40">
        <v>0</v>
      </c>
      <c r="Q367" s="40">
        <v>0</v>
      </c>
      <c r="R367" s="41">
        <f>SUM(P367:Q367)</f>
        <v>0</v>
      </c>
      <c r="S367" s="42"/>
    </row>
    <row r="368" spans="2:19" ht="15.75" x14ac:dyDescent="0.25">
      <c r="B368" s="70"/>
      <c r="C368" s="70"/>
      <c r="D368" s="77"/>
      <c r="E368" s="64"/>
      <c r="F368" s="78"/>
      <c r="G368" s="43"/>
      <c r="H368" s="79"/>
      <c r="I368" s="78"/>
      <c r="J368" s="78"/>
      <c r="K368" s="78"/>
      <c r="L368" s="78"/>
      <c r="M368" s="78"/>
      <c r="N368" s="79"/>
      <c r="O368" s="78"/>
      <c r="P368" s="80"/>
      <c r="Q368" s="80"/>
      <c r="R368" s="81"/>
      <c r="S368" s="82"/>
    </row>
    <row r="369" spans="2:19" ht="15.75" x14ac:dyDescent="0.25">
      <c r="B369" s="34">
        <f>COUNT(B364:B368)</f>
        <v>2</v>
      </c>
      <c r="C369" s="34"/>
      <c r="D369" s="48"/>
      <c r="E369" s="48"/>
      <c r="F369" s="48">
        <f>SUM(F364:F368)</f>
        <v>116.65886</v>
      </c>
      <c r="G369" s="49"/>
      <c r="H369" s="50">
        <f t="shared" ref="H369:O369" si="60">SUM(H364:H368)</f>
        <v>11.665886</v>
      </c>
      <c r="I369" s="48">
        <f t="shared" si="60"/>
        <v>1022.0499560000001</v>
      </c>
      <c r="J369" s="48">
        <f t="shared" si="60"/>
        <v>2266.1243450000002</v>
      </c>
      <c r="K369" s="48">
        <f t="shared" si="60"/>
        <v>749.40800000000002</v>
      </c>
      <c r="L369" s="48">
        <f t="shared" si="60"/>
        <v>5.5069999999999997</v>
      </c>
      <c r="M369" s="48">
        <f t="shared" si="60"/>
        <v>102.48880799999999</v>
      </c>
      <c r="N369" s="51">
        <f t="shared" si="60"/>
        <v>27.938000000000002</v>
      </c>
      <c r="O369" s="48">
        <f t="shared" si="60"/>
        <v>74.550807999999989</v>
      </c>
      <c r="P369" s="52"/>
      <c r="Q369" s="52"/>
      <c r="R369" s="53"/>
      <c r="S369" s="54">
        <f>SUM(S364:S368)</f>
        <v>1297</v>
      </c>
    </row>
    <row r="370" spans="2:19" ht="15.75" x14ac:dyDescent="0.25">
      <c r="B370" s="70"/>
      <c r="C370" s="70"/>
      <c r="D370" s="77"/>
      <c r="E370" s="64"/>
      <c r="F370" s="78"/>
      <c r="G370" s="43"/>
      <c r="H370" s="79"/>
      <c r="I370" s="78"/>
      <c r="J370" s="78"/>
      <c r="K370" s="78"/>
      <c r="L370" s="78"/>
      <c r="M370" s="78"/>
      <c r="N370" s="79"/>
      <c r="O370" s="78"/>
      <c r="P370" s="80"/>
      <c r="Q370" s="80"/>
      <c r="R370" s="81"/>
      <c r="S370" s="82"/>
    </row>
    <row r="371" spans="2:19" ht="15.75" x14ac:dyDescent="0.25">
      <c r="B371" s="70"/>
      <c r="C371" s="70"/>
      <c r="D371" s="77"/>
      <c r="E371" s="64"/>
      <c r="F371" s="78"/>
      <c r="G371" s="43"/>
      <c r="H371" s="79"/>
      <c r="I371" s="78"/>
      <c r="J371" s="78"/>
      <c r="K371" s="78"/>
      <c r="L371" s="78"/>
      <c r="M371" s="78"/>
      <c r="N371" s="79"/>
      <c r="O371" s="78"/>
      <c r="P371" s="80"/>
      <c r="Q371" s="80"/>
      <c r="R371" s="81"/>
      <c r="S371" s="82"/>
    </row>
    <row r="372" spans="2:19" ht="18.75" x14ac:dyDescent="0.3">
      <c r="B372" s="29"/>
      <c r="C372" s="33">
        <v>12</v>
      </c>
      <c r="D372" s="33" t="s">
        <v>608</v>
      </c>
      <c r="E372" s="61"/>
      <c r="F372" s="61"/>
      <c r="G372" s="43"/>
      <c r="H372" s="44"/>
      <c r="I372" s="31"/>
      <c r="J372" s="31"/>
      <c r="K372" s="31"/>
      <c r="L372" s="31"/>
      <c r="M372" s="31"/>
      <c r="N372" s="45"/>
      <c r="O372" s="31"/>
      <c r="P372" s="31"/>
      <c r="Q372" s="31"/>
      <c r="R372" s="45"/>
      <c r="S372" s="31"/>
    </row>
    <row r="373" spans="2:19" ht="15.75" x14ac:dyDescent="0.25">
      <c r="B373" s="70"/>
      <c r="C373" s="70"/>
      <c r="D373" s="77"/>
      <c r="E373" s="64"/>
      <c r="F373" s="78"/>
      <c r="G373" s="43"/>
      <c r="H373" s="79"/>
      <c r="I373" s="78"/>
      <c r="J373" s="78"/>
      <c r="K373" s="78"/>
      <c r="L373" s="78"/>
      <c r="M373" s="78"/>
      <c r="N373" s="79"/>
      <c r="O373" s="78"/>
      <c r="P373" s="80"/>
      <c r="Q373" s="80"/>
      <c r="R373" s="81"/>
      <c r="S373" s="82"/>
    </row>
    <row r="374" spans="2:19" ht="15.75" x14ac:dyDescent="0.25">
      <c r="B374" s="34">
        <v>1</v>
      </c>
      <c r="C374" s="34" t="s">
        <v>609</v>
      </c>
      <c r="D374" s="35" t="s">
        <v>610</v>
      </c>
      <c r="E374" s="36">
        <v>42551</v>
      </c>
      <c r="F374" s="37">
        <v>134.09549999999999</v>
      </c>
      <c r="G374" s="38">
        <v>10</v>
      </c>
      <c r="H374" s="39">
        <f t="shared" ref="H374:H381" si="61">+F374/G374</f>
        <v>13.409549999999999</v>
      </c>
      <c r="I374" s="37">
        <v>-6118.9900440000001</v>
      </c>
      <c r="J374" s="37">
        <v>4347.7581659999996</v>
      </c>
      <c r="K374" s="37">
        <v>0</v>
      </c>
      <c r="L374" s="37">
        <v>9.3325000000000005E-2</v>
      </c>
      <c r="M374" s="37">
        <v>-684.64704700000004</v>
      </c>
      <c r="N374" s="39">
        <f t="shared" ref="N374:N381" si="62">+M374-O374</f>
        <v>-0.88117800000009083</v>
      </c>
      <c r="O374" s="37">
        <v>-683.76586899999995</v>
      </c>
      <c r="P374" s="40">
        <v>0</v>
      </c>
      <c r="Q374" s="40">
        <v>0</v>
      </c>
      <c r="R374" s="41">
        <f t="shared" ref="R374:R381" si="63">SUM(P374:Q374)</f>
        <v>0</v>
      </c>
      <c r="S374" s="42">
        <v>702</v>
      </c>
    </row>
    <row r="375" spans="2:19" ht="15.75" x14ac:dyDescent="0.25">
      <c r="B375" s="55">
        <f>+B374+1</f>
        <v>2</v>
      </c>
      <c r="C375" s="55" t="s">
        <v>611</v>
      </c>
      <c r="D375" s="35" t="s">
        <v>612</v>
      </c>
      <c r="E375" s="36">
        <v>42551</v>
      </c>
      <c r="F375" s="37">
        <v>3663.2109999999998</v>
      </c>
      <c r="G375" s="38">
        <v>10</v>
      </c>
      <c r="H375" s="39">
        <f t="shared" si="61"/>
        <v>366.3211</v>
      </c>
      <c r="I375" s="37">
        <v>-12517.513000000001</v>
      </c>
      <c r="J375" s="37">
        <v>8399.7309999999998</v>
      </c>
      <c r="K375" s="37">
        <v>0</v>
      </c>
      <c r="L375" s="37">
        <v>79.167000000000002</v>
      </c>
      <c r="M375" s="37">
        <v>-867.73900000000003</v>
      </c>
      <c r="N375" s="39">
        <f t="shared" si="62"/>
        <v>-90.346000000000004</v>
      </c>
      <c r="O375" s="37">
        <v>-777.39300000000003</v>
      </c>
      <c r="P375" s="40">
        <v>0</v>
      </c>
      <c r="Q375" s="40">
        <v>0</v>
      </c>
      <c r="R375" s="41">
        <f t="shared" si="63"/>
        <v>0</v>
      </c>
      <c r="S375" s="42">
        <v>20424</v>
      </c>
    </row>
    <row r="376" spans="2:19" ht="15.75" x14ac:dyDescent="0.25">
      <c r="B376" s="55">
        <f t="shared" ref="B376:B381" si="64">+B375+1</f>
        <v>3</v>
      </c>
      <c r="C376" s="55" t="s">
        <v>613</v>
      </c>
      <c r="D376" s="35" t="s">
        <v>614</v>
      </c>
      <c r="E376" s="36">
        <v>42551</v>
      </c>
      <c r="F376" s="37">
        <v>383.64499999999998</v>
      </c>
      <c r="G376" s="38">
        <v>10</v>
      </c>
      <c r="H376" s="39">
        <f t="shared" si="61"/>
        <v>38.3645</v>
      </c>
      <c r="I376" s="37">
        <v>3318.6669999999999</v>
      </c>
      <c r="J376" s="37">
        <v>6511.6369999999997</v>
      </c>
      <c r="K376" s="37">
        <v>8766.9030000000002</v>
      </c>
      <c r="L376" s="37">
        <v>59.341000000000001</v>
      </c>
      <c r="M376" s="37">
        <v>-214.64</v>
      </c>
      <c r="N376" s="39">
        <f t="shared" si="62"/>
        <v>39.855000000000018</v>
      </c>
      <c r="O376" s="37">
        <v>-254.495</v>
      </c>
      <c r="P376" s="40">
        <v>0</v>
      </c>
      <c r="Q376" s="40">
        <v>0</v>
      </c>
      <c r="R376" s="41">
        <f t="shared" si="63"/>
        <v>0</v>
      </c>
      <c r="S376" s="42">
        <v>1306</v>
      </c>
    </row>
    <row r="377" spans="2:19" ht="15.75" x14ac:dyDescent="0.25">
      <c r="B377" s="55">
        <f t="shared" si="64"/>
        <v>4</v>
      </c>
      <c r="C377" s="55" t="s">
        <v>615</v>
      </c>
      <c r="D377" s="35" t="s">
        <v>616</v>
      </c>
      <c r="E377" s="36">
        <v>42551</v>
      </c>
      <c r="F377" s="37">
        <v>3105.0699500000001</v>
      </c>
      <c r="G377" s="38">
        <v>10</v>
      </c>
      <c r="H377" s="39">
        <f t="shared" si="61"/>
        <v>310.50699500000002</v>
      </c>
      <c r="I377" s="37">
        <v>36237.659954000002</v>
      </c>
      <c r="J377" s="37">
        <v>51058.632747199998</v>
      </c>
      <c r="K377" s="37">
        <v>34709.815423</v>
      </c>
      <c r="L377" s="37">
        <v>897.12508600000001</v>
      </c>
      <c r="M377" s="37">
        <v>1921.9748500000001</v>
      </c>
      <c r="N377" s="39">
        <f t="shared" si="62"/>
        <v>386.69796900000006</v>
      </c>
      <c r="O377" s="37">
        <v>1535.276881</v>
      </c>
      <c r="P377" s="40">
        <v>0</v>
      </c>
      <c r="Q377" s="40">
        <v>0</v>
      </c>
      <c r="R377" s="41">
        <f t="shared" si="63"/>
        <v>0</v>
      </c>
      <c r="S377" s="42">
        <v>2234</v>
      </c>
    </row>
    <row r="378" spans="2:19" ht="15.75" x14ac:dyDescent="0.25">
      <c r="B378" s="55">
        <f t="shared" si="64"/>
        <v>5</v>
      </c>
      <c r="C378" s="55" t="s">
        <v>617</v>
      </c>
      <c r="D378" s="35" t="s">
        <v>618</v>
      </c>
      <c r="E378" s="36">
        <v>42551</v>
      </c>
      <c r="F378" s="37">
        <v>155.53174000000001</v>
      </c>
      <c r="G378" s="38">
        <v>10</v>
      </c>
      <c r="H378" s="39">
        <f t="shared" si="61"/>
        <v>15.553174000000002</v>
      </c>
      <c r="I378" s="37">
        <v>228.71495100000001</v>
      </c>
      <c r="J378" s="37">
        <v>997.71161700000005</v>
      </c>
      <c r="K378" s="37">
        <v>709.70500100000004</v>
      </c>
      <c r="L378" s="37">
        <v>6.1036489999999999</v>
      </c>
      <c r="M378" s="37">
        <v>32.803364000000002</v>
      </c>
      <c r="N378" s="39">
        <f t="shared" si="62"/>
        <v>-1.7961859999999987</v>
      </c>
      <c r="O378" s="37">
        <v>34.599550000000001</v>
      </c>
      <c r="P378" s="40">
        <v>0</v>
      </c>
      <c r="Q378" s="40">
        <v>0</v>
      </c>
      <c r="R378" s="41">
        <f t="shared" si="63"/>
        <v>0</v>
      </c>
      <c r="S378" s="42">
        <v>511</v>
      </c>
    </row>
    <row r="379" spans="2:19" ht="15.75" x14ac:dyDescent="0.25">
      <c r="B379" s="55">
        <f t="shared" si="64"/>
        <v>6</v>
      </c>
      <c r="C379" s="55" t="s">
        <v>619</v>
      </c>
      <c r="D379" s="35" t="s">
        <v>620</v>
      </c>
      <c r="E379" s="36">
        <v>42551</v>
      </c>
      <c r="F379" s="37">
        <v>560.4</v>
      </c>
      <c r="G379" s="38">
        <v>10</v>
      </c>
      <c r="H379" s="39">
        <f t="shared" si="61"/>
        <v>56.04</v>
      </c>
      <c r="I379" s="37">
        <v>1239.6569999999999</v>
      </c>
      <c r="J379" s="37">
        <v>3873.587</v>
      </c>
      <c r="K379" s="37">
        <v>1661.248</v>
      </c>
      <c r="L379" s="37">
        <v>114.33499999999999</v>
      </c>
      <c r="M379" s="37">
        <v>95.855999999999995</v>
      </c>
      <c r="N379" s="39">
        <f t="shared" si="62"/>
        <v>4.3499999999999943</v>
      </c>
      <c r="O379" s="37">
        <v>91.506</v>
      </c>
      <c r="P379" s="40">
        <f>10</f>
        <v>10</v>
      </c>
      <c r="Q379" s="40">
        <v>0</v>
      </c>
      <c r="R379" s="41">
        <f t="shared" si="63"/>
        <v>10</v>
      </c>
      <c r="S379" s="42">
        <v>1397</v>
      </c>
    </row>
    <row r="380" spans="2:19" ht="15.75" x14ac:dyDescent="0.25">
      <c r="B380" s="55">
        <f t="shared" si="64"/>
        <v>7</v>
      </c>
      <c r="C380" s="55" t="s">
        <v>621</v>
      </c>
      <c r="D380" s="35" t="s">
        <v>622</v>
      </c>
      <c r="E380" s="36">
        <v>42551</v>
      </c>
      <c r="F380" s="37">
        <v>340.685</v>
      </c>
      <c r="G380" s="38">
        <v>10</v>
      </c>
      <c r="H380" s="39">
        <f t="shared" si="61"/>
        <v>34.0685</v>
      </c>
      <c r="I380" s="37">
        <v>739.41099999999994</v>
      </c>
      <c r="J380" s="37">
        <v>4386.79</v>
      </c>
      <c r="K380" s="37">
        <v>4890.0410000000002</v>
      </c>
      <c r="L380" s="37">
        <v>135.11199999999999</v>
      </c>
      <c r="M380" s="37">
        <v>-270.91899999999998</v>
      </c>
      <c r="N380" s="39">
        <f t="shared" si="62"/>
        <v>62.559000000000026</v>
      </c>
      <c r="O380" s="37">
        <v>-333.47800000000001</v>
      </c>
      <c r="P380" s="40">
        <v>0</v>
      </c>
      <c r="Q380" s="40">
        <v>0</v>
      </c>
      <c r="R380" s="41">
        <f t="shared" si="63"/>
        <v>0</v>
      </c>
      <c r="S380" s="42">
        <v>593</v>
      </c>
    </row>
    <row r="381" spans="2:19" ht="15.75" x14ac:dyDescent="0.25">
      <c r="B381" s="55">
        <f t="shared" si="64"/>
        <v>8</v>
      </c>
      <c r="C381" s="55" t="s">
        <v>623</v>
      </c>
      <c r="D381" s="35" t="s">
        <v>624</v>
      </c>
      <c r="E381" s="36">
        <v>42551</v>
      </c>
      <c r="F381" s="37">
        <v>214.65733</v>
      </c>
      <c r="G381" s="38">
        <v>10</v>
      </c>
      <c r="H381" s="39">
        <f t="shared" si="61"/>
        <v>21.465733</v>
      </c>
      <c r="I381" s="37">
        <v>124.25611000000001</v>
      </c>
      <c r="J381" s="37">
        <v>454.59631400000001</v>
      </c>
      <c r="K381" s="37">
        <v>20.077138000000001</v>
      </c>
      <c r="L381" s="37">
        <v>6.1422350000000003</v>
      </c>
      <c r="M381" s="37">
        <v>-5.030227</v>
      </c>
      <c r="N381" s="39">
        <f t="shared" si="62"/>
        <v>-4.8256519999999998</v>
      </c>
      <c r="O381" s="37">
        <v>-0.20457500000000001</v>
      </c>
      <c r="P381" s="40">
        <v>0</v>
      </c>
      <c r="Q381" s="40">
        <v>0</v>
      </c>
      <c r="R381" s="41">
        <f t="shared" si="63"/>
        <v>0</v>
      </c>
      <c r="S381" s="42">
        <v>4249</v>
      </c>
    </row>
    <row r="382" spans="2:19" ht="15.75" x14ac:dyDescent="0.25">
      <c r="B382" s="70"/>
      <c r="C382" s="70"/>
      <c r="D382" s="77"/>
      <c r="E382" s="64"/>
      <c r="F382" s="78"/>
      <c r="G382" s="43"/>
      <c r="H382" s="79"/>
      <c r="I382" s="78"/>
      <c r="J382" s="78"/>
      <c r="K382" s="78"/>
      <c r="L382" s="78"/>
      <c r="M382" s="78"/>
      <c r="N382" s="79"/>
      <c r="O382" s="78"/>
      <c r="P382" s="80"/>
      <c r="Q382" s="80"/>
      <c r="R382" s="81"/>
      <c r="S382" s="82"/>
    </row>
    <row r="383" spans="2:19" ht="18.75" x14ac:dyDescent="0.3">
      <c r="B383" s="29"/>
      <c r="C383" s="29"/>
      <c r="D383" s="57" t="s">
        <v>45</v>
      </c>
      <c r="E383" s="29"/>
      <c r="F383" s="29"/>
      <c r="G383" s="43"/>
      <c r="H383" s="44"/>
      <c r="I383" s="31"/>
      <c r="J383" s="31"/>
      <c r="K383" s="31"/>
      <c r="L383" s="31"/>
      <c r="M383" s="31"/>
      <c r="N383" s="45"/>
      <c r="O383" s="31"/>
      <c r="P383" s="31"/>
      <c r="Q383" s="31"/>
      <c r="R383" s="45"/>
      <c r="S383" s="31"/>
    </row>
    <row r="384" spans="2:19" ht="15.75" x14ac:dyDescent="0.25">
      <c r="B384" s="55">
        <v>1</v>
      </c>
      <c r="C384" s="55" t="s">
        <v>625</v>
      </c>
      <c r="D384" s="35" t="s">
        <v>626</v>
      </c>
      <c r="E384" s="36">
        <v>42551</v>
      </c>
      <c r="F384" s="37"/>
      <c r="G384" s="38">
        <v>10</v>
      </c>
      <c r="H384" s="39">
        <f>+F384/G384</f>
        <v>0</v>
      </c>
      <c r="I384" s="37"/>
      <c r="J384" s="37"/>
      <c r="K384" s="37"/>
      <c r="L384" s="37"/>
      <c r="M384" s="37"/>
      <c r="N384" s="39">
        <f>+M384-O384</f>
        <v>0</v>
      </c>
      <c r="O384" s="37"/>
      <c r="P384" s="40"/>
      <c r="Q384" s="40"/>
      <c r="R384" s="41">
        <f>SUM(P384:Q384)</f>
        <v>0</v>
      </c>
      <c r="S384" s="42"/>
    </row>
    <row r="385" spans="2:19" ht="15.75" x14ac:dyDescent="0.25">
      <c r="B385" s="55">
        <f>+B384+1</f>
        <v>2</v>
      </c>
      <c r="C385" s="55" t="s">
        <v>627</v>
      </c>
      <c r="D385" s="35" t="s">
        <v>628</v>
      </c>
      <c r="E385" s="36">
        <v>42551</v>
      </c>
      <c r="F385" s="37">
        <v>4</v>
      </c>
      <c r="G385" s="38">
        <v>10</v>
      </c>
      <c r="H385" s="39">
        <f>+F385/G385</f>
        <v>0.4</v>
      </c>
      <c r="I385" s="37">
        <v>-9.1210939999999994</v>
      </c>
      <c r="J385" s="37">
        <v>3.7454130000000001</v>
      </c>
      <c r="K385" s="37">
        <v>2.0477599999999998</v>
      </c>
      <c r="L385" s="37">
        <v>0</v>
      </c>
      <c r="M385" s="37">
        <v>0.25521300000000002</v>
      </c>
      <c r="N385" s="39">
        <f>+M385-O385</f>
        <v>0.48490900000000003</v>
      </c>
      <c r="O385" s="37">
        <v>-0.22969600000000001</v>
      </c>
      <c r="P385" s="40">
        <v>0</v>
      </c>
      <c r="Q385" s="40">
        <v>0</v>
      </c>
      <c r="R385" s="41">
        <f>SUM(P385:Q385)</f>
        <v>0</v>
      </c>
      <c r="S385" s="42">
        <v>826</v>
      </c>
    </row>
    <row r="386" spans="2:19" ht="15.75" x14ac:dyDescent="0.25">
      <c r="B386" s="55">
        <f>+B385+1</f>
        <v>3</v>
      </c>
      <c r="C386" s="55" t="s">
        <v>629</v>
      </c>
      <c r="D386" s="35" t="s">
        <v>630</v>
      </c>
      <c r="E386" s="36">
        <v>42551</v>
      </c>
      <c r="F386" s="37">
        <v>150</v>
      </c>
      <c r="G386" s="38">
        <v>10</v>
      </c>
      <c r="H386" s="39">
        <f>+F386/G386</f>
        <v>15</v>
      </c>
      <c r="I386" s="37">
        <v>-272.61346700000001</v>
      </c>
      <c r="J386" s="37">
        <v>632.01291300000003</v>
      </c>
      <c r="K386" s="37">
        <v>0</v>
      </c>
      <c r="L386" s="37">
        <v>1.7995000000000001E-2</v>
      </c>
      <c r="M386" s="37">
        <v>-23.67295</v>
      </c>
      <c r="N386" s="39">
        <f>+M386-O386</f>
        <v>-9.0727100000000007</v>
      </c>
      <c r="O386" s="37">
        <v>-14.600239999999999</v>
      </c>
      <c r="P386" s="40">
        <v>0</v>
      </c>
      <c r="Q386" s="40">
        <v>0</v>
      </c>
      <c r="R386" s="41">
        <f>SUM(P386:Q386)</f>
        <v>0</v>
      </c>
      <c r="S386" s="42">
        <v>8</v>
      </c>
    </row>
    <row r="387" spans="2:19" ht="15.75" x14ac:dyDescent="0.25">
      <c r="B387" s="70"/>
      <c r="C387" s="70"/>
      <c r="D387" s="77"/>
      <c r="E387" s="64"/>
      <c r="F387" s="78"/>
      <c r="G387" s="43"/>
      <c r="H387" s="79"/>
      <c r="I387" s="78"/>
      <c r="J387" s="78"/>
      <c r="K387" s="78"/>
      <c r="L387" s="78"/>
      <c r="M387" s="78"/>
      <c r="N387" s="79"/>
      <c r="O387" s="78"/>
      <c r="P387" s="80"/>
      <c r="Q387" s="80"/>
      <c r="R387" s="81"/>
      <c r="S387" s="82"/>
    </row>
    <row r="388" spans="2:19" ht="15.75" x14ac:dyDescent="0.25">
      <c r="B388" s="34">
        <f>COUNT(B374:B387)</f>
        <v>11</v>
      </c>
      <c r="C388" s="34"/>
      <c r="D388" s="48"/>
      <c r="E388" s="48"/>
      <c r="F388" s="48">
        <f>SUM(F374:F387)</f>
        <v>8711.2955199999997</v>
      </c>
      <c r="G388" s="49"/>
      <c r="H388" s="50">
        <f t="shared" ref="H388:O388" si="65">SUM(H374:H387)</f>
        <v>871.12955199999999</v>
      </c>
      <c r="I388" s="48">
        <f t="shared" si="65"/>
        <v>22970.128410000001</v>
      </c>
      <c r="J388" s="48">
        <f t="shared" si="65"/>
        <v>80666.202170199977</v>
      </c>
      <c r="K388" s="48">
        <f t="shared" si="65"/>
        <v>50759.837321999999</v>
      </c>
      <c r="L388" s="48">
        <f t="shared" si="65"/>
        <v>1297.4372900000001</v>
      </c>
      <c r="M388" s="48">
        <f t="shared" si="65"/>
        <v>-15.758796999999774</v>
      </c>
      <c r="N388" s="51">
        <f t="shared" si="65"/>
        <v>387.02515200000005</v>
      </c>
      <c r="O388" s="48">
        <f t="shared" si="65"/>
        <v>-402.78394899999972</v>
      </c>
      <c r="P388" s="52"/>
      <c r="Q388" s="52"/>
      <c r="R388" s="53"/>
      <c r="S388" s="54">
        <f>SUM(S374:S387)</f>
        <v>32250</v>
      </c>
    </row>
    <row r="389" spans="2:19" ht="15.75" x14ac:dyDescent="0.25">
      <c r="B389" s="70"/>
      <c r="C389" s="70"/>
      <c r="D389" s="77"/>
      <c r="E389" s="64"/>
      <c r="F389" s="78"/>
      <c r="G389" s="43"/>
      <c r="H389" s="79"/>
      <c r="I389" s="78"/>
      <c r="J389" s="78"/>
      <c r="K389" s="78"/>
      <c r="L389" s="78"/>
      <c r="M389" s="78"/>
      <c r="N389" s="79"/>
      <c r="O389" s="78"/>
      <c r="P389" s="80"/>
      <c r="Q389" s="80"/>
      <c r="R389" s="81"/>
      <c r="S389" s="82"/>
    </row>
    <row r="390" spans="2:19" ht="15.75" x14ac:dyDescent="0.25">
      <c r="B390" s="70"/>
      <c r="C390" s="70"/>
      <c r="D390" s="77"/>
      <c r="E390" s="64"/>
      <c r="F390" s="78"/>
      <c r="G390" s="43"/>
      <c r="H390" s="79"/>
      <c r="I390" s="78"/>
      <c r="J390" s="78"/>
      <c r="K390" s="78"/>
      <c r="L390" s="78"/>
      <c r="M390" s="78"/>
      <c r="N390" s="79"/>
      <c r="O390" s="78"/>
      <c r="P390" s="80"/>
      <c r="Q390" s="80"/>
      <c r="R390" s="81"/>
      <c r="S390" s="82"/>
    </row>
    <row r="391" spans="2:19" ht="18.75" x14ac:dyDescent="0.3">
      <c r="B391" s="29"/>
      <c r="C391" s="33">
        <v>13</v>
      </c>
      <c r="D391" s="33" t="s">
        <v>631</v>
      </c>
      <c r="E391" s="61"/>
      <c r="F391" s="61"/>
      <c r="G391" s="43"/>
      <c r="H391" s="44"/>
      <c r="I391" s="31"/>
      <c r="J391" s="31"/>
      <c r="K391" s="31"/>
      <c r="L391" s="31"/>
      <c r="M391" s="31"/>
      <c r="N391" s="45"/>
      <c r="O391" s="31"/>
      <c r="P391" s="31"/>
      <c r="Q391" s="31"/>
      <c r="R391" s="45"/>
      <c r="S391" s="31"/>
    </row>
    <row r="392" spans="2:19" ht="15.75" x14ac:dyDescent="0.25">
      <c r="B392" s="70"/>
      <c r="C392" s="70"/>
      <c r="D392" s="77"/>
      <c r="E392" s="64"/>
      <c r="F392" s="78"/>
      <c r="G392" s="43"/>
      <c r="H392" s="79"/>
      <c r="I392" s="78"/>
      <c r="J392" s="78"/>
      <c r="K392" s="78"/>
      <c r="L392" s="78"/>
      <c r="M392" s="78"/>
      <c r="N392" s="79"/>
      <c r="O392" s="78"/>
      <c r="P392" s="80"/>
      <c r="Q392" s="80"/>
      <c r="R392" s="81"/>
      <c r="S392" s="82"/>
    </row>
    <row r="393" spans="2:19" ht="15.75" x14ac:dyDescent="0.25">
      <c r="B393" s="55">
        <v>1</v>
      </c>
      <c r="C393" s="55" t="s">
        <v>632</v>
      </c>
      <c r="D393" s="35" t="s">
        <v>633</v>
      </c>
      <c r="E393" s="36">
        <v>42551</v>
      </c>
      <c r="F393" s="37">
        <v>35.573999999999998</v>
      </c>
      <c r="G393" s="38">
        <v>10</v>
      </c>
      <c r="H393" s="39">
        <f>+F393/G393</f>
        <v>3.5573999999999999</v>
      </c>
      <c r="I393" s="37">
        <v>62.861088000000002</v>
      </c>
      <c r="J393" s="37">
        <v>63.095135999999997</v>
      </c>
      <c r="K393" s="37">
        <v>0</v>
      </c>
      <c r="L393" s="37">
        <v>0.77812599999999998</v>
      </c>
      <c r="M393" s="37">
        <v>-15.182435</v>
      </c>
      <c r="N393" s="39">
        <f>+M393-O393</f>
        <v>1.6784820000000007</v>
      </c>
      <c r="O393" s="37">
        <v>-16.860917000000001</v>
      </c>
      <c r="P393" s="40">
        <v>0</v>
      </c>
      <c r="Q393" s="40">
        <v>0</v>
      </c>
      <c r="R393" s="41">
        <f>SUM(P393:Q393)</f>
        <v>0</v>
      </c>
      <c r="S393" s="42">
        <v>897</v>
      </c>
    </row>
    <row r="394" spans="2:19" ht="15.75" x14ac:dyDescent="0.25">
      <c r="B394" s="55">
        <f>+B393+1</f>
        <v>2</v>
      </c>
      <c r="C394" s="55" t="s">
        <v>634</v>
      </c>
      <c r="D394" s="35" t="s">
        <v>635</v>
      </c>
      <c r="E394" s="36">
        <v>42551</v>
      </c>
      <c r="F394" s="37">
        <v>237.63468</v>
      </c>
      <c r="G394" s="38">
        <v>10</v>
      </c>
      <c r="H394" s="39">
        <f>+F394/G394</f>
        <v>23.763468</v>
      </c>
      <c r="I394" s="37">
        <v>-320.03663699999998</v>
      </c>
      <c r="J394" s="37">
        <v>400.22555899999998</v>
      </c>
      <c r="K394" s="37">
        <v>0</v>
      </c>
      <c r="L394" s="37">
        <v>19.618922000000001</v>
      </c>
      <c r="M394" s="37">
        <v>-46.86788</v>
      </c>
      <c r="N394" s="39">
        <f>+M394-O394</f>
        <v>3.7430000000000518E-3</v>
      </c>
      <c r="O394" s="37">
        <v>-46.871623</v>
      </c>
      <c r="P394" s="40">
        <v>0</v>
      </c>
      <c r="Q394" s="40">
        <v>0</v>
      </c>
      <c r="R394" s="41">
        <f>SUM(P394:Q394)</f>
        <v>0</v>
      </c>
      <c r="S394" s="42">
        <v>2033</v>
      </c>
    </row>
    <row r="396" spans="2:19" ht="15.75" x14ac:dyDescent="0.25">
      <c r="B396" s="70"/>
      <c r="C396" s="70"/>
      <c r="D396" s="77"/>
      <c r="E396" s="64"/>
      <c r="F396" s="78"/>
      <c r="G396" s="43"/>
      <c r="H396" s="79"/>
      <c r="I396" s="78"/>
      <c r="J396" s="78"/>
      <c r="K396" s="78"/>
      <c r="L396" s="78"/>
      <c r="M396" s="78"/>
      <c r="N396" s="79"/>
      <c r="O396" s="78"/>
      <c r="P396" s="80"/>
      <c r="Q396" s="80"/>
      <c r="R396" s="81"/>
      <c r="S396" s="82"/>
    </row>
    <row r="397" spans="2:19" ht="18.75" x14ac:dyDescent="0.3">
      <c r="B397" s="29"/>
      <c r="C397" s="29"/>
      <c r="D397" s="57" t="s">
        <v>45</v>
      </c>
      <c r="E397" s="29"/>
      <c r="F397" s="29"/>
      <c r="G397" s="43"/>
      <c r="H397" s="44"/>
      <c r="I397" s="31"/>
      <c r="J397" s="31"/>
      <c r="K397" s="31"/>
      <c r="L397" s="31"/>
      <c r="M397" s="31"/>
      <c r="N397" s="45"/>
      <c r="O397" s="31"/>
      <c r="P397" s="31"/>
      <c r="Q397" s="31"/>
      <c r="R397" s="45"/>
      <c r="S397" s="31"/>
    </row>
    <row r="398" spans="2:19" ht="15.75" x14ac:dyDescent="0.25">
      <c r="B398" s="55">
        <v>1</v>
      </c>
      <c r="C398" s="55" t="s">
        <v>636</v>
      </c>
      <c r="D398" s="35" t="s">
        <v>637</v>
      </c>
      <c r="E398" s="36">
        <v>42551</v>
      </c>
      <c r="F398" s="37">
        <v>37.450000000000003</v>
      </c>
      <c r="G398" s="38">
        <v>10</v>
      </c>
      <c r="H398" s="39">
        <f>+F398/G398</f>
        <v>3.7450000000000001</v>
      </c>
      <c r="I398" s="37">
        <v>-309.97186399999998</v>
      </c>
      <c r="J398" s="37">
        <v>897.50056700000005</v>
      </c>
      <c r="K398" s="37">
        <v>0</v>
      </c>
      <c r="L398" s="37">
        <v>2.863696</v>
      </c>
      <c r="M398" s="37">
        <v>-48.474397000000003</v>
      </c>
      <c r="N398" s="39">
        <f>+M398-O398</f>
        <v>0</v>
      </c>
      <c r="O398" s="37">
        <v>-48.474397000000003</v>
      </c>
      <c r="P398" s="40">
        <v>0</v>
      </c>
      <c r="Q398" s="40">
        <v>0</v>
      </c>
      <c r="R398" s="41">
        <f>SUM(P398:Q398)</f>
        <v>0</v>
      </c>
      <c r="S398" s="42">
        <v>443</v>
      </c>
    </row>
    <row r="399" spans="2:19" ht="15.75" x14ac:dyDescent="0.25">
      <c r="B399" s="34">
        <f>COUNT(B393:B398)</f>
        <v>3</v>
      </c>
      <c r="C399" s="34"/>
      <c r="D399" s="48"/>
      <c r="E399" s="48"/>
      <c r="F399" s="48">
        <f>SUM(F393:F398)</f>
        <v>310.65868</v>
      </c>
      <c r="G399" s="49"/>
      <c r="H399" s="50">
        <f t="shared" ref="H399:O399" si="66">SUM(H393:H398)</f>
        <v>31.065868000000002</v>
      </c>
      <c r="I399" s="48">
        <f t="shared" si="66"/>
        <v>-567.14741299999991</v>
      </c>
      <c r="J399" s="48">
        <f t="shared" si="66"/>
        <v>1360.8212619999999</v>
      </c>
      <c r="K399" s="48">
        <f t="shared" si="66"/>
        <v>0</v>
      </c>
      <c r="L399" s="48">
        <f t="shared" si="66"/>
        <v>23.260744000000003</v>
      </c>
      <c r="M399" s="48">
        <f t="shared" si="66"/>
        <v>-110.52471199999999</v>
      </c>
      <c r="N399" s="51">
        <f t="shared" si="66"/>
        <v>1.6822250000000007</v>
      </c>
      <c r="O399" s="48">
        <f t="shared" si="66"/>
        <v>-112.20693700000001</v>
      </c>
      <c r="P399" s="52"/>
      <c r="Q399" s="52"/>
      <c r="R399" s="53"/>
      <c r="S399" s="54">
        <f>SUM(S393:S398)</f>
        <v>3373</v>
      </c>
    </row>
    <row r="400" spans="2:19" ht="15.75" x14ac:dyDescent="0.25">
      <c r="B400" s="70"/>
      <c r="C400" s="70"/>
      <c r="D400" s="77"/>
      <c r="E400" s="64"/>
      <c r="F400" s="78"/>
      <c r="G400" s="43"/>
      <c r="H400" s="79"/>
      <c r="I400" s="78"/>
      <c r="J400" s="78"/>
      <c r="K400" s="78"/>
      <c r="L400" s="78"/>
      <c r="M400" s="78"/>
      <c r="N400" s="79"/>
      <c r="O400" s="78"/>
      <c r="P400" s="80"/>
      <c r="Q400" s="80"/>
      <c r="R400" s="81"/>
      <c r="S400" s="82"/>
    </row>
    <row r="401" spans="2:19" ht="15.75" x14ac:dyDescent="0.25">
      <c r="B401" s="70"/>
      <c r="C401" s="70"/>
      <c r="D401" s="77"/>
      <c r="E401" s="64"/>
      <c r="F401" s="78"/>
      <c r="G401" s="43"/>
      <c r="H401" s="79"/>
      <c r="I401" s="78"/>
      <c r="J401" s="78"/>
      <c r="K401" s="78"/>
      <c r="L401" s="78"/>
      <c r="M401" s="78"/>
      <c r="N401" s="79"/>
      <c r="O401" s="78"/>
      <c r="P401" s="80"/>
      <c r="Q401" s="80"/>
      <c r="R401" s="81"/>
      <c r="S401" s="82"/>
    </row>
    <row r="402" spans="2:19" ht="18.75" x14ac:dyDescent="0.3">
      <c r="B402" s="29"/>
      <c r="C402" s="33">
        <v>14</v>
      </c>
      <c r="D402" s="33" t="s">
        <v>638</v>
      </c>
      <c r="E402" s="61"/>
      <c r="F402" s="61"/>
      <c r="G402" s="43"/>
      <c r="H402" s="44"/>
      <c r="I402" s="31"/>
      <c r="J402" s="31"/>
      <c r="K402" s="31"/>
      <c r="L402" s="31"/>
      <c r="M402" s="31"/>
      <c r="N402" s="45"/>
      <c r="O402" s="31"/>
      <c r="P402" s="31"/>
      <c r="Q402" s="31"/>
      <c r="R402" s="45"/>
      <c r="S402" s="31"/>
    </row>
    <row r="403" spans="2:19" ht="15.75" x14ac:dyDescent="0.25">
      <c r="B403" s="70"/>
      <c r="C403" s="70"/>
      <c r="D403" s="77"/>
      <c r="E403" s="64"/>
      <c r="F403" s="78"/>
      <c r="G403" s="43"/>
      <c r="H403" s="79"/>
      <c r="I403" s="78"/>
      <c r="J403" s="78"/>
      <c r="K403" s="78"/>
      <c r="L403" s="78"/>
      <c r="M403" s="78"/>
      <c r="N403" s="79"/>
      <c r="O403" s="78"/>
      <c r="P403" s="80"/>
      <c r="Q403" s="80"/>
      <c r="R403" s="81"/>
      <c r="S403" s="82"/>
    </row>
    <row r="404" spans="2:19" ht="15.75" x14ac:dyDescent="0.25">
      <c r="B404" s="34">
        <v>1</v>
      </c>
      <c r="C404" s="34" t="s">
        <v>639</v>
      </c>
      <c r="D404" s="35" t="s">
        <v>640</v>
      </c>
      <c r="E404" s="36">
        <v>42643</v>
      </c>
      <c r="F404" s="37">
        <v>173.62299999999999</v>
      </c>
      <c r="G404" s="38">
        <v>10</v>
      </c>
      <c r="H404" s="39">
        <f t="shared" ref="H404:H432" si="67">+F404/G404</f>
        <v>17.362299999999998</v>
      </c>
      <c r="I404" s="37">
        <v>2335.1080000000002</v>
      </c>
      <c r="J404" s="37">
        <v>3312.931</v>
      </c>
      <c r="K404" s="37">
        <v>5793.8509999999997</v>
      </c>
      <c r="L404" s="37">
        <v>85.39</v>
      </c>
      <c r="M404" s="37">
        <v>524.57000000000005</v>
      </c>
      <c r="N404" s="39">
        <f t="shared" ref="N404:N432" si="68">+M404-O404</f>
        <v>66.687000000000069</v>
      </c>
      <c r="O404" s="37">
        <v>457.88299999999998</v>
      </c>
      <c r="P404" s="40">
        <f>50+100+40</f>
        <v>190</v>
      </c>
      <c r="Q404" s="40">
        <v>0</v>
      </c>
      <c r="R404" s="41">
        <f t="shared" ref="R404:R432" si="69">SUM(P404:Q404)</f>
        <v>190</v>
      </c>
      <c r="S404" s="42">
        <v>810</v>
      </c>
    </row>
    <row r="405" spans="2:19" ht="15.75" x14ac:dyDescent="0.25">
      <c r="B405" s="34">
        <f>+B404+1</f>
        <v>2</v>
      </c>
      <c r="C405" s="34" t="s">
        <v>641</v>
      </c>
      <c r="D405" s="35" t="s">
        <v>642</v>
      </c>
      <c r="E405" s="36">
        <v>42643</v>
      </c>
      <c r="F405" s="37">
        <v>172.90961999999999</v>
      </c>
      <c r="G405" s="38">
        <v>10</v>
      </c>
      <c r="H405" s="39">
        <f t="shared" si="67"/>
        <v>17.290962</v>
      </c>
      <c r="I405" s="37">
        <v>822.42015700000002</v>
      </c>
      <c r="J405" s="37">
        <v>2287.7167410000002</v>
      </c>
      <c r="K405" s="37">
        <v>3261.2469620000002</v>
      </c>
      <c r="L405" s="37">
        <v>77.084389000000002</v>
      </c>
      <c r="M405" s="37">
        <v>168.52004199999999</v>
      </c>
      <c r="N405" s="39">
        <f t="shared" si="68"/>
        <v>44.060604999999995</v>
      </c>
      <c r="O405" s="37">
        <v>124.45943699999999</v>
      </c>
      <c r="P405" s="40">
        <f>35</f>
        <v>35</v>
      </c>
      <c r="Q405" s="40">
        <v>0</v>
      </c>
      <c r="R405" s="41">
        <f t="shared" si="69"/>
        <v>35</v>
      </c>
      <c r="S405" s="42">
        <v>2630</v>
      </c>
    </row>
    <row r="406" spans="2:19" ht="15.75" x14ac:dyDescent="0.25">
      <c r="B406" s="34">
        <f t="shared" ref="B406:B432" si="70">+B405+1</f>
        <v>3</v>
      </c>
      <c r="C406" s="34" t="s">
        <v>643</v>
      </c>
      <c r="D406" s="35" t="s">
        <v>644</v>
      </c>
      <c r="E406" s="36">
        <v>42643</v>
      </c>
      <c r="F406" s="37">
        <v>792.61666000000002</v>
      </c>
      <c r="G406" s="38">
        <v>10</v>
      </c>
      <c r="H406" s="39">
        <f t="shared" si="67"/>
        <v>79.261666000000005</v>
      </c>
      <c r="I406" s="37">
        <v>-638.08264399999996</v>
      </c>
      <c r="J406" s="37">
        <v>3050.316241</v>
      </c>
      <c r="K406" s="37">
        <v>430.56435499999998</v>
      </c>
      <c r="L406" s="37">
        <v>60.317262999999997</v>
      </c>
      <c r="M406" s="37">
        <v>-409.65550500000001</v>
      </c>
      <c r="N406" s="39">
        <f t="shared" si="68"/>
        <v>-25.405140000000017</v>
      </c>
      <c r="O406" s="37">
        <v>-384.25036499999999</v>
      </c>
      <c r="P406" s="40">
        <v>0</v>
      </c>
      <c r="Q406" s="40">
        <v>0</v>
      </c>
      <c r="R406" s="41">
        <f t="shared" si="69"/>
        <v>0</v>
      </c>
      <c r="S406" s="42">
        <v>1891</v>
      </c>
    </row>
    <row r="407" spans="2:19" ht="15.75" x14ac:dyDescent="0.25">
      <c r="B407" s="34">
        <f t="shared" si="70"/>
        <v>4</v>
      </c>
      <c r="C407" s="34" t="s">
        <v>645</v>
      </c>
      <c r="D407" s="35" t="s">
        <v>646</v>
      </c>
      <c r="E407" s="36">
        <v>42643</v>
      </c>
      <c r="F407" s="37">
        <v>204.73699999999999</v>
      </c>
      <c r="G407" s="38">
        <v>10</v>
      </c>
      <c r="H407" s="39">
        <f t="shared" si="67"/>
        <v>20.473700000000001</v>
      </c>
      <c r="I407" s="37">
        <v>1595.77</v>
      </c>
      <c r="J407" s="37">
        <v>7002.8280000000004</v>
      </c>
      <c r="K407" s="37">
        <v>8103.1450000000004</v>
      </c>
      <c r="L407" s="37">
        <v>280.185</v>
      </c>
      <c r="M407" s="37">
        <v>226.15</v>
      </c>
      <c r="N407" s="39">
        <f t="shared" si="68"/>
        <v>56.069999999999993</v>
      </c>
      <c r="O407" s="37">
        <v>170.08</v>
      </c>
      <c r="P407" s="40">
        <f>40</f>
        <v>40</v>
      </c>
      <c r="Q407" s="40">
        <v>0</v>
      </c>
      <c r="R407" s="41">
        <f t="shared" si="69"/>
        <v>40</v>
      </c>
      <c r="S407" s="42">
        <v>1247</v>
      </c>
    </row>
    <row r="408" spans="2:19" ht="15.75" x14ac:dyDescent="0.25">
      <c r="B408" s="34">
        <f t="shared" si="70"/>
        <v>5</v>
      </c>
      <c r="C408" s="34" t="s">
        <v>647</v>
      </c>
      <c r="D408" s="35" t="s">
        <v>648</v>
      </c>
      <c r="E408" s="36">
        <v>42643</v>
      </c>
      <c r="F408" s="37">
        <v>244.07198</v>
      </c>
      <c r="G408" s="38">
        <v>10</v>
      </c>
      <c r="H408" s="39">
        <f t="shared" si="67"/>
        <v>24.407198000000001</v>
      </c>
      <c r="I408" s="37">
        <v>825.56732399999999</v>
      </c>
      <c r="J408" s="37">
        <v>8260.8975260000007</v>
      </c>
      <c r="K408" s="37">
        <v>1730.162045</v>
      </c>
      <c r="L408" s="37">
        <v>324.87362400000001</v>
      </c>
      <c r="M408" s="37">
        <v>11.709911</v>
      </c>
      <c r="N408" s="39">
        <f t="shared" si="68"/>
        <v>-9.8235440000000001</v>
      </c>
      <c r="O408" s="37">
        <v>21.533455</v>
      </c>
      <c r="P408" s="40">
        <v>0</v>
      </c>
      <c r="Q408" s="40">
        <v>0</v>
      </c>
      <c r="R408" s="41">
        <f t="shared" si="69"/>
        <v>0</v>
      </c>
      <c r="S408" s="42">
        <v>2488</v>
      </c>
    </row>
    <row r="409" spans="2:19" ht="15.75" x14ac:dyDescent="0.25">
      <c r="B409" s="34">
        <f t="shared" si="70"/>
        <v>6</v>
      </c>
      <c r="C409" s="34" t="s">
        <v>649</v>
      </c>
      <c r="D409" s="35" t="s">
        <v>650</v>
      </c>
      <c r="E409" s="36">
        <v>42643</v>
      </c>
      <c r="F409" s="37">
        <v>94.5</v>
      </c>
      <c r="G409" s="38">
        <v>10</v>
      </c>
      <c r="H409" s="39">
        <f t="shared" si="67"/>
        <v>9.4499999999999993</v>
      </c>
      <c r="I409" s="37">
        <v>-1123.45912</v>
      </c>
      <c r="J409" s="37">
        <v>3284.9237680000001</v>
      </c>
      <c r="K409" s="37">
        <v>1264.121314</v>
      </c>
      <c r="L409" s="37">
        <v>125.964839</v>
      </c>
      <c r="M409" s="37">
        <v>3.237466</v>
      </c>
      <c r="N409" s="39">
        <f t="shared" si="68"/>
        <v>-9.2476149999999997</v>
      </c>
      <c r="O409" s="37">
        <v>12.485080999999999</v>
      </c>
      <c r="P409" s="40">
        <v>0</v>
      </c>
      <c r="Q409" s="40">
        <v>0</v>
      </c>
      <c r="R409" s="41">
        <f t="shared" si="69"/>
        <v>0</v>
      </c>
      <c r="S409" s="42">
        <v>1175</v>
      </c>
    </row>
    <row r="410" spans="2:19" ht="15.75" x14ac:dyDescent="0.25">
      <c r="B410" s="34">
        <f t="shared" si="70"/>
        <v>7</v>
      </c>
      <c r="C410" s="34" t="s">
        <v>651</v>
      </c>
      <c r="D410" s="35" t="s">
        <v>652</v>
      </c>
      <c r="E410" s="36">
        <v>42643</v>
      </c>
      <c r="F410" s="37">
        <v>286.92</v>
      </c>
      <c r="G410" s="38">
        <v>10</v>
      </c>
      <c r="H410" s="39">
        <f t="shared" si="67"/>
        <v>28.692</v>
      </c>
      <c r="I410" s="37">
        <v>1309.9949999999999</v>
      </c>
      <c r="J410" s="37">
        <v>10072.321</v>
      </c>
      <c r="K410" s="37">
        <v>11206.209000000001</v>
      </c>
      <c r="L410" s="37">
        <v>501.56299999999999</v>
      </c>
      <c r="M410" s="37">
        <v>215.15100000000001</v>
      </c>
      <c r="N410" s="39">
        <f t="shared" si="68"/>
        <v>-82.298999999999978</v>
      </c>
      <c r="O410" s="37">
        <v>297.45</v>
      </c>
      <c r="P410" s="40">
        <f>45</f>
        <v>45</v>
      </c>
      <c r="Q410" s="40">
        <v>0</v>
      </c>
      <c r="R410" s="41">
        <f t="shared" si="69"/>
        <v>45</v>
      </c>
      <c r="S410" s="42">
        <v>1147</v>
      </c>
    </row>
    <row r="411" spans="2:19" ht="15.75" x14ac:dyDescent="0.25">
      <c r="B411" s="34">
        <f t="shared" si="70"/>
        <v>8</v>
      </c>
      <c r="C411" s="34" t="s">
        <v>653</v>
      </c>
      <c r="D411" s="35" t="s">
        <v>654</v>
      </c>
      <c r="E411" s="36">
        <v>42643</v>
      </c>
      <c r="F411" s="37">
        <v>990.2</v>
      </c>
      <c r="G411" s="38">
        <v>10</v>
      </c>
      <c r="H411" s="39">
        <f t="shared" si="67"/>
        <v>99.02000000000001</v>
      </c>
      <c r="I411" s="37">
        <v>1339.9480000000001</v>
      </c>
      <c r="J411" s="37">
        <v>16168.901</v>
      </c>
      <c r="K411" s="37">
        <v>344.71300000000002</v>
      </c>
      <c r="L411" s="37">
        <v>72.846000000000004</v>
      </c>
      <c r="M411" s="37">
        <v>-303.01400000000001</v>
      </c>
      <c r="N411" s="39">
        <f t="shared" si="68"/>
        <v>-0.74500000000000455</v>
      </c>
      <c r="O411" s="37">
        <v>-302.26900000000001</v>
      </c>
      <c r="P411" s="40">
        <v>0</v>
      </c>
      <c r="Q411" s="40">
        <v>0</v>
      </c>
      <c r="R411" s="41">
        <f t="shared" si="69"/>
        <v>0</v>
      </c>
      <c r="S411" s="42">
        <v>1904</v>
      </c>
    </row>
    <row r="412" spans="2:19" ht="15.75" x14ac:dyDescent="0.25">
      <c r="B412" s="34">
        <f t="shared" si="70"/>
        <v>9</v>
      </c>
      <c r="C412" s="34" t="s">
        <v>655</v>
      </c>
      <c r="D412" s="35" t="s">
        <v>656</v>
      </c>
      <c r="E412" s="36">
        <v>42643</v>
      </c>
      <c r="F412" s="37">
        <v>665.11991999999998</v>
      </c>
      <c r="G412" s="38">
        <v>10</v>
      </c>
      <c r="H412" s="39">
        <f t="shared" si="67"/>
        <v>66.511991999999992</v>
      </c>
      <c r="I412" s="37">
        <v>-115.97069399999999</v>
      </c>
      <c r="J412" s="37">
        <v>5723.908077</v>
      </c>
      <c r="K412" s="37">
        <v>2567.6283560000002</v>
      </c>
      <c r="L412" s="37">
        <v>71.423428999999999</v>
      </c>
      <c r="M412" s="37">
        <v>-772.00929099999996</v>
      </c>
      <c r="N412" s="39">
        <f t="shared" si="68"/>
        <v>-76.116522999999916</v>
      </c>
      <c r="O412" s="37">
        <v>-695.89276800000005</v>
      </c>
      <c r="P412" s="40">
        <v>0</v>
      </c>
      <c r="Q412" s="40">
        <v>0</v>
      </c>
      <c r="R412" s="41">
        <f t="shared" si="69"/>
        <v>0</v>
      </c>
      <c r="S412" s="42">
        <v>2143</v>
      </c>
    </row>
    <row r="413" spans="2:19" ht="15.75" x14ac:dyDescent="0.25">
      <c r="B413" s="34">
        <f t="shared" si="70"/>
        <v>10</v>
      </c>
      <c r="C413" s="34" t="s">
        <v>657</v>
      </c>
      <c r="D413" s="35" t="s">
        <v>658</v>
      </c>
      <c r="E413" s="36">
        <v>42643</v>
      </c>
      <c r="F413" s="37">
        <v>250.06954999999999</v>
      </c>
      <c r="G413" s="38">
        <v>10</v>
      </c>
      <c r="H413" s="39">
        <f t="shared" si="67"/>
        <v>25.006954999999998</v>
      </c>
      <c r="I413" s="37">
        <v>1904.332594</v>
      </c>
      <c r="J413" s="37">
        <v>3898.0001240000001</v>
      </c>
      <c r="K413" s="37">
        <v>6484.8856429999996</v>
      </c>
      <c r="L413" s="37">
        <v>38.094805999999998</v>
      </c>
      <c r="M413" s="37">
        <v>608.59364600000004</v>
      </c>
      <c r="N413" s="39">
        <f t="shared" si="68"/>
        <v>125.93033100000002</v>
      </c>
      <c r="O413" s="37">
        <v>482.66331500000001</v>
      </c>
      <c r="P413" s="40">
        <f>50</f>
        <v>50</v>
      </c>
      <c r="Q413" s="40">
        <v>0</v>
      </c>
      <c r="R413" s="41">
        <f t="shared" si="69"/>
        <v>50</v>
      </c>
      <c r="S413" s="42">
        <v>2425</v>
      </c>
    </row>
    <row r="414" spans="2:19" ht="15.75" x14ac:dyDescent="0.25">
      <c r="B414" s="34">
        <f t="shared" si="70"/>
        <v>11</v>
      </c>
      <c r="C414" s="34" t="s">
        <v>659</v>
      </c>
      <c r="D414" s="35" t="s">
        <v>660</v>
      </c>
      <c r="E414" s="36">
        <v>42643</v>
      </c>
      <c r="F414" s="37">
        <v>750</v>
      </c>
      <c r="G414" s="38">
        <v>5</v>
      </c>
      <c r="H414" s="39">
        <f t="shared" si="67"/>
        <v>150</v>
      </c>
      <c r="I414" s="37">
        <v>6531.4369999999999</v>
      </c>
      <c r="J414" s="37">
        <v>8624.0709999999999</v>
      </c>
      <c r="K414" s="37">
        <v>8517.0939999999991</v>
      </c>
      <c r="L414" s="37">
        <v>62.225999999999999</v>
      </c>
      <c r="M414" s="37">
        <v>970.96199999999999</v>
      </c>
      <c r="N414" s="39">
        <f t="shared" si="68"/>
        <v>146</v>
      </c>
      <c r="O414" s="37">
        <v>824.96199999999999</v>
      </c>
      <c r="P414" s="40">
        <f>55</f>
        <v>55</v>
      </c>
      <c r="Q414" s="40">
        <v>0</v>
      </c>
      <c r="R414" s="41">
        <f t="shared" si="69"/>
        <v>55</v>
      </c>
      <c r="S414" s="42">
        <v>5416</v>
      </c>
    </row>
    <row r="415" spans="2:19" ht="15.75" x14ac:dyDescent="0.25">
      <c r="B415" s="34">
        <f t="shared" si="70"/>
        <v>12</v>
      </c>
      <c r="C415" s="34" t="s">
        <v>661</v>
      </c>
      <c r="D415" s="35" t="s">
        <v>662</v>
      </c>
      <c r="E415" s="36">
        <v>42551</v>
      </c>
      <c r="F415" s="37">
        <v>200</v>
      </c>
      <c r="G415" s="38">
        <v>5</v>
      </c>
      <c r="H415" s="39">
        <f t="shared" si="67"/>
        <v>40</v>
      </c>
      <c r="I415" s="37">
        <v>749.37990000000002</v>
      </c>
      <c r="J415" s="37">
        <v>884.37158799999997</v>
      </c>
      <c r="K415" s="37">
        <v>1041.0501340000001</v>
      </c>
      <c r="L415" s="37">
        <v>1.424058</v>
      </c>
      <c r="M415" s="37">
        <v>17.136901999999999</v>
      </c>
      <c r="N415" s="39">
        <f t="shared" si="68"/>
        <v>-15.705977000000004</v>
      </c>
      <c r="O415" s="37">
        <v>32.842879000000003</v>
      </c>
      <c r="P415" s="40">
        <f>20</f>
        <v>20</v>
      </c>
      <c r="Q415" s="40">
        <v>0</v>
      </c>
      <c r="R415" s="41">
        <f t="shared" si="69"/>
        <v>20</v>
      </c>
      <c r="S415" s="42">
        <v>2617</v>
      </c>
    </row>
    <row r="416" spans="2:19" ht="15.75" x14ac:dyDescent="0.25">
      <c r="B416" s="34">
        <f t="shared" si="70"/>
        <v>13</v>
      </c>
      <c r="C416" s="34" t="s">
        <v>663</v>
      </c>
      <c r="D416" s="35" t="s">
        <v>664</v>
      </c>
      <c r="E416" s="36">
        <v>42643</v>
      </c>
      <c r="F416" s="37">
        <v>170</v>
      </c>
      <c r="G416" s="38">
        <v>10</v>
      </c>
      <c r="H416" s="39">
        <f t="shared" si="67"/>
        <v>17</v>
      </c>
      <c r="I416" s="37">
        <v>-410.24565999999999</v>
      </c>
      <c r="J416" s="37">
        <v>3139.120766</v>
      </c>
      <c r="K416" s="37">
        <v>3144.1468709999999</v>
      </c>
      <c r="L416" s="37">
        <v>61.569187999999997</v>
      </c>
      <c r="M416" s="37">
        <v>98.257181000000003</v>
      </c>
      <c r="N416" s="39">
        <f t="shared" si="68"/>
        <v>-17.407647999999995</v>
      </c>
      <c r="O416" s="37">
        <v>115.664829</v>
      </c>
      <c r="P416" s="40">
        <v>0</v>
      </c>
      <c r="Q416" s="40">
        <v>0</v>
      </c>
      <c r="R416" s="41">
        <f t="shared" si="69"/>
        <v>0</v>
      </c>
      <c r="S416" s="42">
        <v>894</v>
      </c>
    </row>
    <row r="417" spans="2:19" ht="15.75" x14ac:dyDescent="0.25">
      <c r="B417" s="34">
        <f t="shared" si="70"/>
        <v>14</v>
      </c>
      <c r="C417" s="34" t="s">
        <v>665</v>
      </c>
      <c r="D417" s="35" t="s">
        <v>666</v>
      </c>
      <c r="E417" s="36">
        <v>42643</v>
      </c>
      <c r="F417" s="37">
        <v>324</v>
      </c>
      <c r="G417" s="38">
        <v>10</v>
      </c>
      <c r="H417" s="39">
        <f t="shared" si="67"/>
        <v>32.4</v>
      </c>
      <c r="I417" s="37">
        <v>-1434.210208</v>
      </c>
      <c r="J417" s="37">
        <v>4212.0316860000003</v>
      </c>
      <c r="K417" s="37">
        <v>879.36654099999998</v>
      </c>
      <c r="L417" s="37">
        <v>163.59782100000001</v>
      </c>
      <c r="M417" s="37">
        <v>-773.08064300000001</v>
      </c>
      <c r="N417" s="39">
        <f t="shared" si="68"/>
        <v>-87.790558000000033</v>
      </c>
      <c r="O417" s="37">
        <v>-685.29008499999998</v>
      </c>
      <c r="P417" s="40">
        <v>0</v>
      </c>
      <c r="Q417" s="40">
        <v>0</v>
      </c>
      <c r="R417" s="41">
        <f t="shared" si="69"/>
        <v>0</v>
      </c>
      <c r="S417" s="42">
        <v>986</v>
      </c>
    </row>
    <row r="418" spans="2:19" ht="15.75" x14ac:dyDescent="0.25">
      <c r="B418" s="34">
        <f t="shared" si="70"/>
        <v>15</v>
      </c>
      <c r="C418" s="34" t="s">
        <v>667</v>
      </c>
      <c r="D418" s="35" t="s">
        <v>668</v>
      </c>
      <c r="E418" s="36">
        <v>42643</v>
      </c>
      <c r="F418" s="37">
        <v>597.76661000000001</v>
      </c>
      <c r="G418" s="38">
        <v>10</v>
      </c>
      <c r="H418" s="39">
        <f t="shared" si="67"/>
        <v>59.776661000000004</v>
      </c>
      <c r="I418" s="37">
        <v>8320.7560940000003</v>
      </c>
      <c r="J418" s="37">
        <v>34146.052997999999</v>
      </c>
      <c r="K418" s="37">
        <v>37287.425990999996</v>
      </c>
      <c r="L418" s="37">
        <v>1660.1059949999999</v>
      </c>
      <c r="M418" s="37">
        <v>2319.015727</v>
      </c>
      <c r="N418" s="39">
        <f t="shared" si="68"/>
        <v>285.08373899999992</v>
      </c>
      <c r="O418" s="37">
        <v>2033.931988</v>
      </c>
      <c r="P418" s="40">
        <f>20+30+150</f>
        <v>200</v>
      </c>
      <c r="Q418" s="40">
        <v>0</v>
      </c>
      <c r="R418" s="41">
        <f t="shared" si="69"/>
        <v>200</v>
      </c>
      <c r="S418" s="42">
        <v>1127</v>
      </c>
    </row>
    <row r="419" spans="2:19" ht="15.75" x14ac:dyDescent="0.25">
      <c r="B419" s="34">
        <f t="shared" si="70"/>
        <v>16</v>
      </c>
      <c r="C419" s="34" t="s">
        <v>669</v>
      </c>
      <c r="D419" s="35" t="s">
        <v>670</v>
      </c>
      <c r="E419" s="36">
        <v>42643</v>
      </c>
      <c r="F419" s="37">
        <v>109.09797</v>
      </c>
      <c r="G419" s="38">
        <v>10</v>
      </c>
      <c r="H419" s="39">
        <f t="shared" si="67"/>
        <v>10.909797000000001</v>
      </c>
      <c r="I419" s="37">
        <v>1282.21606</v>
      </c>
      <c r="J419" s="37">
        <v>3228.1640090000001</v>
      </c>
      <c r="K419" s="37">
        <v>2096.363202</v>
      </c>
      <c r="L419" s="37">
        <v>53.626365</v>
      </c>
      <c r="M419" s="37">
        <v>82.036119999999997</v>
      </c>
      <c r="N419" s="39">
        <f t="shared" si="68"/>
        <v>-23.961225999999996</v>
      </c>
      <c r="O419" s="37">
        <v>105.99734599999999</v>
      </c>
      <c r="P419" s="40">
        <f>10</f>
        <v>10</v>
      </c>
      <c r="Q419" s="40">
        <v>0</v>
      </c>
      <c r="R419" s="41">
        <f t="shared" si="69"/>
        <v>10</v>
      </c>
      <c r="S419" s="42">
        <v>1061</v>
      </c>
    </row>
    <row r="420" spans="2:19" ht="15.75" x14ac:dyDescent="0.25">
      <c r="B420" s="34">
        <f t="shared" si="70"/>
        <v>17</v>
      </c>
      <c r="C420" s="34" t="s">
        <v>671</v>
      </c>
      <c r="D420" s="35" t="s">
        <v>672</v>
      </c>
      <c r="E420" s="36">
        <v>42643</v>
      </c>
      <c r="F420" s="37">
        <v>160.17500000000001</v>
      </c>
      <c r="G420" s="38">
        <v>10</v>
      </c>
      <c r="H420" s="39">
        <f t="shared" si="67"/>
        <v>16.017500000000002</v>
      </c>
      <c r="I420" s="37">
        <v>-97.531999999999996</v>
      </c>
      <c r="J420" s="37">
        <v>1887.076</v>
      </c>
      <c r="K420" s="37">
        <v>4146.4949999999999</v>
      </c>
      <c r="L420" s="37">
        <v>132.42599999999999</v>
      </c>
      <c r="M420" s="37">
        <v>42.636000000000003</v>
      </c>
      <c r="N420" s="39">
        <f t="shared" si="68"/>
        <v>-14.134</v>
      </c>
      <c r="O420" s="37">
        <v>56.77</v>
      </c>
      <c r="P420" s="40">
        <v>0</v>
      </c>
      <c r="Q420" s="40">
        <v>0</v>
      </c>
      <c r="R420" s="41">
        <f t="shared" si="69"/>
        <v>0</v>
      </c>
      <c r="S420" s="42">
        <v>148</v>
      </c>
    </row>
    <row r="421" spans="2:19" ht="15.75" x14ac:dyDescent="0.25">
      <c r="B421" s="34">
        <f t="shared" si="70"/>
        <v>18</v>
      </c>
      <c r="C421" s="34" t="s">
        <v>673</v>
      </c>
      <c r="D421" s="35" t="s">
        <v>674</v>
      </c>
      <c r="E421" s="36">
        <v>42643</v>
      </c>
      <c r="F421" s="37">
        <v>122.682</v>
      </c>
      <c r="G421" s="38">
        <v>10</v>
      </c>
      <c r="H421" s="39">
        <f t="shared" si="67"/>
        <v>12.2682</v>
      </c>
      <c r="I421" s="37">
        <v>2384.904</v>
      </c>
      <c r="J421" s="37">
        <v>5262.4639999999999</v>
      </c>
      <c r="K421" s="37">
        <v>3762.8919999999998</v>
      </c>
      <c r="L421" s="37">
        <v>133.202</v>
      </c>
      <c r="M421" s="37">
        <v>225.56</v>
      </c>
      <c r="N421" s="39">
        <f t="shared" si="68"/>
        <v>75.491000000000014</v>
      </c>
      <c r="O421" s="37">
        <v>150.06899999999999</v>
      </c>
      <c r="P421" s="40">
        <f>50</f>
        <v>50</v>
      </c>
      <c r="Q421" s="40">
        <v>0</v>
      </c>
      <c r="R421" s="41">
        <f t="shared" si="69"/>
        <v>50</v>
      </c>
      <c r="S421" s="42">
        <v>1813</v>
      </c>
    </row>
    <row r="422" spans="2:19" ht="15.75" x14ac:dyDescent="0.25">
      <c r="B422" s="34">
        <f t="shared" si="70"/>
        <v>19</v>
      </c>
      <c r="C422" s="34" t="s">
        <v>675</v>
      </c>
      <c r="D422" s="35" t="s">
        <v>676</v>
      </c>
      <c r="E422" s="36">
        <v>42643</v>
      </c>
      <c r="F422" s="37">
        <v>320.31245000000001</v>
      </c>
      <c r="G422" s="38">
        <v>10</v>
      </c>
      <c r="H422" s="39">
        <f t="shared" si="67"/>
        <v>32.031244999999998</v>
      </c>
      <c r="I422" s="37">
        <v>2323.4154549999998</v>
      </c>
      <c r="J422" s="37">
        <v>4516.738096</v>
      </c>
      <c r="K422" s="37">
        <v>7113.2259869999998</v>
      </c>
      <c r="L422" s="37">
        <v>98.626401000000001</v>
      </c>
      <c r="M422" s="37">
        <v>668.006756</v>
      </c>
      <c r="N422" s="39">
        <f t="shared" si="68"/>
        <v>126.19980199999998</v>
      </c>
      <c r="O422" s="37">
        <v>541.80695400000002</v>
      </c>
      <c r="P422" s="40">
        <f>12.5+15+15+22.5</f>
        <v>65</v>
      </c>
      <c r="Q422" s="40">
        <v>0</v>
      </c>
      <c r="R422" s="41">
        <f t="shared" si="69"/>
        <v>65</v>
      </c>
      <c r="S422" s="42">
        <v>1475</v>
      </c>
    </row>
    <row r="423" spans="2:19" ht="15.75" x14ac:dyDescent="0.25">
      <c r="B423" s="34">
        <f t="shared" si="70"/>
        <v>20</v>
      </c>
      <c r="C423" s="34" t="s">
        <v>677</v>
      </c>
      <c r="D423" s="35" t="s">
        <v>678</v>
      </c>
      <c r="E423" s="36">
        <v>42643</v>
      </c>
      <c r="F423" s="37">
        <v>165.17500000000001</v>
      </c>
      <c r="G423" s="38">
        <v>10</v>
      </c>
      <c r="H423" s="39">
        <f t="shared" si="67"/>
        <v>16.517500000000002</v>
      </c>
      <c r="I423" s="37">
        <v>465.82400000000001</v>
      </c>
      <c r="J423" s="37">
        <v>1707.653</v>
      </c>
      <c r="K423" s="37">
        <v>2588.5459999999998</v>
      </c>
      <c r="L423" s="37">
        <v>86.575999999999993</v>
      </c>
      <c r="M423" s="37">
        <v>51.780999999999999</v>
      </c>
      <c r="N423" s="39">
        <f t="shared" si="68"/>
        <v>11.659999999999997</v>
      </c>
      <c r="O423" s="37">
        <v>40.121000000000002</v>
      </c>
      <c r="P423" s="40">
        <f>10</f>
        <v>10</v>
      </c>
      <c r="Q423" s="40">
        <v>0</v>
      </c>
      <c r="R423" s="41">
        <f t="shared" si="69"/>
        <v>10</v>
      </c>
      <c r="S423" s="42">
        <v>1971</v>
      </c>
    </row>
    <row r="424" spans="2:19" ht="15.75" x14ac:dyDescent="0.25">
      <c r="B424" s="34">
        <f t="shared" si="70"/>
        <v>21</v>
      </c>
      <c r="C424" s="34" t="s">
        <v>679</v>
      </c>
      <c r="D424" s="35" t="s">
        <v>680</v>
      </c>
      <c r="E424" s="36">
        <v>42643</v>
      </c>
      <c r="F424" s="37">
        <v>37.5</v>
      </c>
      <c r="G424" s="38">
        <v>10</v>
      </c>
      <c r="H424" s="39">
        <f t="shared" si="67"/>
        <v>3.75</v>
      </c>
      <c r="I424" s="37">
        <v>677.77300000000002</v>
      </c>
      <c r="J424" s="37">
        <v>1881.2650000000001</v>
      </c>
      <c r="K424" s="37">
        <v>1470.6769999999999</v>
      </c>
      <c r="L424" s="37">
        <v>62.863999999999997</v>
      </c>
      <c r="M424" s="37">
        <v>-195.53</v>
      </c>
      <c r="N424" s="39">
        <f t="shared" si="68"/>
        <v>-45.736999999999995</v>
      </c>
      <c r="O424" s="37">
        <v>-149.79300000000001</v>
      </c>
      <c r="P424" s="40">
        <v>0</v>
      </c>
      <c r="Q424" s="40">
        <v>0</v>
      </c>
      <c r="R424" s="41">
        <f t="shared" si="69"/>
        <v>0</v>
      </c>
      <c r="S424" s="42">
        <v>1313</v>
      </c>
    </row>
    <row r="425" spans="2:19" ht="15.75" x14ac:dyDescent="0.25">
      <c r="B425" s="34">
        <f t="shared" si="70"/>
        <v>22</v>
      </c>
      <c r="C425" s="34" t="s">
        <v>681</v>
      </c>
      <c r="D425" s="35" t="s">
        <v>682</v>
      </c>
      <c r="E425" s="36">
        <v>42643</v>
      </c>
      <c r="F425" s="37">
        <v>119.46</v>
      </c>
      <c r="G425" s="38">
        <v>10</v>
      </c>
      <c r="H425" s="39">
        <f t="shared" si="67"/>
        <v>11.946</v>
      </c>
      <c r="I425" s="37">
        <v>467.26600000000002</v>
      </c>
      <c r="J425" s="37">
        <v>2424.9070000000002</v>
      </c>
      <c r="K425" s="37">
        <v>2832.6570000000002</v>
      </c>
      <c r="L425" s="37">
        <v>48.859000000000002</v>
      </c>
      <c r="M425" s="37">
        <v>11.06</v>
      </c>
      <c r="N425" s="39">
        <f t="shared" si="68"/>
        <v>-2.8929999999999989</v>
      </c>
      <c r="O425" s="37">
        <v>13.952999999999999</v>
      </c>
      <c r="P425" s="40">
        <f>6</f>
        <v>6</v>
      </c>
      <c r="Q425" s="40">
        <v>0</v>
      </c>
      <c r="R425" s="41">
        <f t="shared" si="69"/>
        <v>6</v>
      </c>
      <c r="S425" s="42">
        <v>1236</v>
      </c>
    </row>
    <row r="426" spans="2:19" ht="15.75" x14ac:dyDescent="0.25">
      <c r="B426" s="34">
        <f t="shared" si="70"/>
        <v>23</v>
      </c>
      <c r="C426" s="34" t="s">
        <v>683</v>
      </c>
      <c r="D426" s="35" t="s">
        <v>684</v>
      </c>
      <c r="E426" s="36">
        <v>42643</v>
      </c>
      <c r="F426" s="37">
        <v>104.25</v>
      </c>
      <c r="G426" s="38">
        <v>10</v>
      </c>
      <c r="H426" s="39">
        <f t="shared" si="67"/>
        <v>10.425000000000001</v>
      </c>
      <c r="I426" s="37">
        <v>-25.72906</v>
      </c>
      <c r="J426" s="37">
        <v>2608.322956</v>
      </c>
      <c r="K426" s="37">
        <v>3160.9069549999999</v>
      </c>
      <c r="L426" s="37">
        <v>92.966085000000007</v>
      </c>
      <c r="M426" s="37">
        <v>1.313833</v>
      </c>
      <c r="N426" s="39">
        <f t="shared" si="68"/>
        <v>26.350738</v>
      </c>
      <c r="O426" s="37">
        <v>-25.036905000000001</v>
      </c>
      <c r="P426" s="40">
        <v>0</v>
      </c>
      <c r="Q426" s="40">
        <v>0</v>
      </c>
      <c r="R426" s="41">
        <f t="shared" si="69"/>
        <v>0</v>
      </c>
      <c r="S426" s="42">
        <v>1920</v>
      </c>
    </row>
    <row r="427" spans="2:19" ht="15.75" x14ac:dyDescent="0.25">
      <c r="B427" s="34">
        <f t="shared" si="70"/>
        <v>24</v>
      </c>
      <c r="C427" s="34" t="s">
        <v>685</v>
      </c>
      <c r="D427" s="35" t="s">
        <v>686</v>
      </c>
      <c r="E427" s="36">
        <v>42643</v>
      </c>
      <c r="F427" s="37">
        <v>1100</v>
      </c>
      <c r="G427" s="38">
        <v>10</v>
      </c>
      <c r="H427" s="39">
        <f t="shared" si="67"/>
        <v>110</v>
      </c>
      <c r="I427" s="37">
        <v>28.457999999999998</v>
      </c>
      <c r="J427" s="37">
        <v>10839.796</v>
      </c>
      <c r="K427" s="37">
        <v>4373.2190000000001</v>
      </c>
      <c r="L427" s="37">
        <v>182.75399999999999</v>
      </c>
      <c r="M427" s="37">
        <v>-31.663</v>
      </c>
      <c r="N427" s="39">
        <f t="shared" si="68"/>
        <v>-13.77</v>
      </c>
      <c r="O427" s="37">
        <v>-17.893000000000001</v>
      </c>
      <c r="P427" s="40">
        <v>0</v>
      </c>
      <c r="Q427" s="40">
        <v>0</v>
      </c>
      <c r="R427" s="41">
        <f t="shared" si="69"/>
        <v>0</v>
      </c>
      <c r="S427" s="42">
        <v>2468</v>
      </c>
    </row>
    <row r="428" spans="2:19" ht="15.75" x14ac:dyDescent="0.25">
      <c r="B428" s="34">
        <f t="shared" si="70"/>
        <v>25</v>
      </c>
      <c r="C428" s="34" t="s">
        <v>687</v>
      </c>
      <c r="D428" s="35" t="s">
        <v>688</v>
      </c>
      <c r="E428" s="36">
        <v>42643</v>
      </c>
      <c r="F428" s="37">
        <v>120.111</v>
      </c>
      <c r="G428" s="38">
        <v>10</v>
      </c>
      <c r="H428" s="39">
        <f t="shared" si="67"/>
        <v>12.011100000000001</v>
      </c>
      <c r="I428" s="37">
        <v>1182.175</v>
      </c>
      <c r="J428" s="37">
        <v>1621.0029999999999</v>
      </c>
      <c r="K428" s="37">
        <v>4707.0349999999999</v>
      </c>
      <c r="L428" s="37">
        <v>47.542999999999999</v>
      </c>
      <c r="M428" s="37">
        <v>279.95</v>
      </c>
      <c r="N428" s="39">
        <f t="shared" si="68"/>
        <v>100.494</v>
      </c>
      <c r="O428" s="37">
        <v>179.45599999999999</v>
      </c>
      <c r="P428" s="40">
        <f>50</f>
        <v>50</v>
      </c>
      <c r="Q428" s="40">
        <v>0</v>
      </c>
      <c r="R428" s="41">
        <f t="shared" si="69"/>
        <v>50</v>
      </c>
      <c r="S428" s="42">
        <v>672</v>
      </c>
    </row>
    <row r="429" spans="2:19" ht="15.75" x14ac:dyDescent="0.25">
      <c r="B429" s="34">
        <f t="shared" si="70"/>
        <v>26</v>
      </c>
      <c r="C429" s="34" t="s">
        <v>689</v>
      </c>
      <c r="D429" s="35" t="s">
        <v>690</v>
      </c>
      <c r="E429" s="36">
        <v>42643</v>
      </c>
      <c r="F429" s="37">
        <v>211.18700000000001</v>
      </c>
      <c r="G429" s="38">
        <v>10</v>
      </c>
      <c r="H429" s="39">
        <f t="shared" si="67"/>
        <v>21.1187</v>
      </c>
      <c r="I429" s="37">
        <v>1148.4000000000001</v>
      </c>
      <c r="J429" s="37">
        <v>3956.7130000000002</v>
      </c>
      <c r="K429" s="37">
        <v>5909.7430000000004</v>
      </c>
      <c r="L429" s="37">
        <v>172.779</v>
      </c>
      <c r="M429" s="37">
        <v>170.136</v>
      </c>
      <c r="N429" s="39">
        <f t="shared" si="68"/>
        <v>44.988</v>
      </c>
      <c r="O429" s="37">
        <v>125.148</v>
      </c>
      <c r="P429" s="40">
        <f>24</f>
        <v>24</v>
      </c>
      <c r="Q429" s="40">
        <v>0</v>
      </c>
      <c r="R429" s="41">
        <f t="shared" si="69"/>
        <v>24</v>
      </c>
      <c r="S429" s="42">
        <v>2305</v>
      </c>
    </row>
    <row r="430" spans="2:19" ht="15.75" x14ac:dyDescent="0.25">
      <c r="B430" s="34">
        <f t="shared" si="70"/>
        <v>27</v>
      </c>
      <c r="C430" s="34" t="s">
        <v>691</v>
      </c>
      <c r="D430" s="35" t="s">
        <v>692</v>
      </c>
      <c r="E430" s="36">
        <v>42643</v>
      </c>
      <c r="F430" s="37">
        <v>223.08</v>
      </c>
      <c r="G430" s="38">
        <v>10</v>
      </c>
      <c r="H430" s="39">
        <f t="shared" si="67"/>
        <v>22.308</v>
      </c>
      <c r="I430" s="37">
        <v>-822.54640800000004</v>
      </c>
      <c r="J430" s="37">
        <v>2612.1146720000002</v>
      </c>
      <c r="K430" s="37">
        <v>1528.01224</v>
      </c>
      <c r="L430" s="37">
        <v>32.357345000000002</v>
      </c>
      <c r="M430" s="37">
        <v>-458.79920600000003</v>
      </c>
      <c r="N430" s="39">
        <f t="shared" si="68"/>
        <v>-232.25489800000003</v>
      </c>
      <c r="O430" s="37">
        <v>-226.544308</v>
      </c>
      <c r="P430" s="40">
        <v>0</v>
      </c>
      <c r="Q430" s="40">
        <v>0</v>
      </c>
      <c r="R430" s="41">
        <f t="shared" si="69"/>
        <v>0</v>
      </c>
      <c r="S430" s="42">
        <v>1904</v>
      </c>
    </row>
    <row r="431" spans="2:19" ht="15.75" x14ac:dyDescent="0.25">
      <c r="B431" s="34">
        <f t="shared" si="70"/>
        <v>28</v>
      </c>
      <c r="C431" s="34" t="s">
        <v>693</v>
      </c>
      <c r="D431" s="35" t="s">
        <v>694</v>
      </c>
      <c r="E431" s="36">
        <v>42643</v>
      </c>
      <c r="F431" s="37">
        <v>150.23231999999999</v>
      </c>
      <c r="G431" s="38">
        <v>10</v>
      </c>
      <c r="H431" s="39">
        <f t="shared" si="67"/>
        <v>15.023231999999998</v>
      </c>
      <c r="I431" s="37">
        <v>1889.9214139999999</v>
      </c>
      <c r="J431" s="37">
        <v>6788.6849329999995</v>
      </c>
      <c r="K431" s="37">
        <v>10673.417774</v>
      </c>
      <c r="L431" s="37">
        <v>321.37380000000002</v>
      </c>
      <c r="M431" s="37">
        <v>666.54997300000002</v>
      </c>
      <c r="N431" s="39">
        <f t="shared" si="68"/>
        <v>6.3677730000000565</v>
      </c>
      <c r="O431" s="37">
        <v>660.18219999999997</v>
      </c>
      <c r="P431" s="40">
        <f>50+125.78</f>
        <v>175.78</v>
      </c>
      <c r="Q431" s="40">
        <v>0</v>
      </c>
      <c r="R431" s="41">
        <f t="shared" si="69"/>
        <v>175.78</v>
      </c>
      <c r="S431" s="42">
        <v>1013</v>
      </c>
    </row>
    <row r="432" spans="2:19" ht="15.75" x14ac:dyDescent="0.25">
      <c r="B432" s="34">
        <f t="shared" si="70"/>
        <v>29</v>
      </c>
      <c r="C432" s="34" t="s">
        <v>695</v>
      </c>
      <c r="D432" s="35" t="s">
        <v>696</v>
      </c>
      <c r="E432" s="36">
        <v>42643</v>
      </c>
      <c r="F432" s="37">
        <v>1177.0630000000001</v>
      </c>
      <c r="G432" s="38">
        <v>10</v>
      </c>
      <c r="H432" s="39">
        <f t="shared" si="67"/>
        <v>117.70630000000001</v>
      </c>
      <c r="I432" s="37">
        <v>5729.8203810000005</v>
      </c>
      <c r="J432" s="37">
        <v>16203.5617</v>
      </c>
      <c r="K432" s="37">
        <v>18675.054124999999</v>
      </c>
      <c r="L432" s="37">
        <v>860.64368200000001</v>
      </c>
      <c r="M432" s="37">
        <v>933.63640699999996</v>
      </c>
      <c r="N432" s="39">
        <f t="shared" si="68"/>
        <v>35.66933199999994</v>
      </c>
      <c r="O432" s="37">
        <v>897.96707500000002</v>
      </c>
      <c r="P432" s="40">
        <v>0</v>
      </c>
      <c r="Q432" s="40">
        <v>0</v>
      </c>
      <c r="R432" s="41">
        <f t="shared" si="69"/>
        <v>0</v>
      </c>
      <c r="S432" s="42">
        <v>693</v>
      </c>
    </row>
    <row r="433" spans="2:19" ht="15.75" x14ac:dyDescent="0.25">
      <c r="B433" s="62"/>
      <c r="C433" s="62"/>
      <c r="D433" s="77"/>
      <c r="E433" s="64"/>
      <c r="F433" s="78"/>
      <c r="G433" s="43"/>
      <c r="H433" s="79"/>
      <c r="I433" s="78"/>
      <c r="J433" s="78"/>
      <c r="K433" s="78"/>
      <c r="L433" s="78"/>
      <c r="M433" s="78"/>
      <c r="N433" s="79"/>
      <c r="O433" s="78"/>
      <c r="P433" s="80"/>
      <c r="Q433" s="80"/>
      <c r="R433" s="81"/>
      <c r="S433" s="82"/>
    </row>
    <row r="434" spans="2:19" ht="15.75" x14ac:dyDescent="0.25">
      <c r="B434" s="62"/>
      <c r="C434" s="62"/>
      <c r="D434" s="83" t="s">
        <v>697</v>
      </c>
      <c r="E434" s="64"/>
      <c r="F434" s="78"/>
      <c r="G434" s="43"/>
      <c r="H434" s="79"/>
      <c r="I434" s="78"/>
      <c r="J434" s="78"/>
      <c r="K434" s="78"/>
      <c r="L434" s="78"/>
      <c r="M434" s="78"/>
      <c r="N434" s="79"/>
      <c r="O434" s="78"/>
      <c r="P434" s="80"/>
      <c r="Q434" s="80"/>
      <c r="R434" s="81"/>
      <c r="S434" s="82"/>
    </row>
    <row r="435" spans="2:19" ht="15.75" x14ac:dyDescent="0.25">
      <c r="B435" s="70"/>
      <c r="C435" s="70"/>
      <c r="D435" s="77"/>
      <c r="E435" s="64"/>
      <c r="F435" s="78"/>
      <c r="G435" s="43"/>
      <c r="H435" s="79"/>
      <c r="I435" s="78"/>
      <c r="J435" s="78"/>
      <c r="K435" s="78"/>
      <c r="L435" s="78"/>
      <c r="M435" s="78"/>
      <c r="N435" s="79"/>
      <c r="O435" s="78"/>
      <c r="P435" s="80"/>
      <c r="Q435" s="80"/>
      <c r="R435" s="81"/>
      <c r="S435" s="82"/>
    </row>
    <row r="436" spans="2:19" ht="18.75" x14ac:dyDescent="0.3">
      <c r="B436" s="29"/>
      <c r="C436" s="29"/>
      <c r="D436" s="57" t="s">
        <v>45</v>
      </c>
      <c r="E436" s="29"/>
      <c r="F436" s="29"/>
      <c r="G436" s="43"/>
      <c r="H436" s="44"/>
      <c r="I436" s="31"/>
      <c r="J436" s="31"/>
      <c r="K436" s="31"/>
      <c r="L436" s="31"/>
      <c r="M436" s="31"/>
      <c r="N436" s="45"/>
      <c r="O436" s="31"/>
      <c r="P436" s="31"/>
      <c r="Q436" s="31"/>
      <c r="R436" s="45"/>
      <c r="S436" s="31"/>
    </row>
    <row r="437" spans="2:19" ht="15.75" x14ac:dyDescent="0.25">
      <c r="B437" s="34">
        <f>+B432+1</f>
        <v>30</v>
      </c>
      <c r="C437" s="34" t="s">
        <v>698</v>
      </c>
      <c r="D437" s="35" t="s">
        <v>699</v>
      </c>
      <c r="E437" s="36">
        <v>42643</v>
      </c>
      <c r="F437" s="37"/>
      <c r="G437" s="38">
        <v>10</v>
      </c>
      <c r="H437" s="39">
        <f>+F437/G437</f>
        <v>0</v>
      </c>
      <c r="I437" s="37"/>
      <c r="J437" s="37"/>
      <c r="K437" s="37"/>
      <c r="L437" s="37"/>
      <c r="M437" s="37"/>
      <c r="N437" s="39">
        <f>+M437-O437</f>
        <v>0</v>
      </c>
      <c r="O437" s="37"/>
      <c r="P437" s="40"/>
      <c r="Q437" s="40"/>
      <c r="R437" s="41">
        <f>SUM(P437:Q437)</f>
        <v>0</v>
      </c>
      <c r="S437" s="42"/>
    </row>
    <row r="438" spans="2:19" ht="15.75" x14ac:dyDescent="0.25">
      <c r="B438" s="34">
        <f>+B437+1</f>
        <v>31</v>
      </c>
      <c r="C438" s="34" t="s">
        <v>700</v>
      </c>
      <c r="D438" s="35" t="s">
        <v>701</v>
      </c>
      <c r="E438" s="36">
        <v>42643</v>
      </c>
      <c r="F438" s="37"/>
      <c r="G438" s="38">
        <v>10</v>
      </c>
      <c r="H438" s="39">
        <f>+F438/G438</f>
        <v>0</v>
      </c>
      <c r="I438" s="37"/>
      <c r="J438" s="37"/>
      <c r="K438" s="37"/>
      <c r="L438" s="37"/>
      <c r="M438" s="37"/>
      <c r="N438" s="39">
        <f>+M438-O438</f>
        <v>0</v>
      </c>
      <c r="O438" s="37"/>
      <c r="P438" s="40"/>
      <c r="Q438" s="40"/>
      <c r="R438" s="41">
        <f>SUM(P438:Q438)</f>
        <v>0</v>
      </c>
      <c r="S438" s="42"/>
    </row>
    <row r="439" spans="2:19" ht="15.75" x14ac:dyDescent="0.25">
      <c r="B439" s="34">
        <f>+B438+1</f>
        <v>32</v>
      </c>
      <c r="C439" s="34" t="s">
        <v>702</v>
      </c>
      <c r="D439" s="35" t="s">
        <v>703</v>
      </c>
      <c r="E439" s="36">
        <v>42643</v>
      </c>
      <c r="F439" s="37"/>
      <c r="G439" s="38">
        <v>10</v>
      </c>
      <c r="H439" s="39">
        <f>+F439/G439</f>
        <v>0</v>
      </c>
      <c r="I439" s="37"/>
      <c r="J439" s="37"/>
      <c r="K439" s="37"/>
      <c r="L439" s="37"/>
      <c r="M439" s="37"/>
      <c r="N439" s="39">
        <f>+M439-O439</f>
        <v>0</v>
      </c>
      <c r="O439" s="37"/>
      <c r="P439" s="40"/>
      <c r="Q439" s="40"/>
      <c r="R439" s="41">
        <f>SUM(P439:Q439)</f>
        <v>0</v>
      </c>
      <c r="S439" s="42"/>
    </row>
    <row r="440" spans="2:19" ht="15.75" x14ac:dyDescent="0.25">
      <c r="B440" s="70"/>
      <c r="C440" s="70"/>
      <c r="D440" s="77"/>
      <c r="E440" s="64"/>
      <c r="F440" s="78"/>
      <c r="G440" s="43"/>
      <c r="H440" s="79"/>
      <c r="I440" s="78"/>
      <c r="J440" s="78"/>
      <c r="K440" s="78"/>
      <c r="L440" s="78"/>
      <c r="M440" s="78"/>
      <c r="N440" s="79"/>
      <c r="O440" s="78"/>
      <c r="P440" s="80"/>
      <c r="Q440" s="80"/>
      <c r="R440" s="81"/>
      <c r="S440" s="82"/>
    </row>
    <row r="441" spans="2:19" ht="15.75" x14ac:dyDescent="0.25">
      <c r="B441" s="34">
        <f>COUNT(B404:B440)</f>
        <v>32</v>
      </c>
      <c r="C441" s="34"/>
      <c r="D441" s="48"/>
      <c r="E441" s="48"/>
      <c r="F441" s="48">
        <f>SUM(F404:F440)</f>
        <v>10036.86008</v>
      </c>
      <c r="G441" s="49"/>
      <c r="H441" s="50">
        <f t="shared" ref="H441:O441" si="71">SUM(H404:H440)</f>
        <v>1098.6860080000001</v>
      </c>
      <c r="I441" s="48">
        <f t="shared" si="71"/>
        <v>38647.111584999991</v>
      </c>
      <c r="J441" s="48">
        <f t="shared" si="71"/>
        <v>179606.85488100001</v>
      </c>
      <c r="K441" s="48">
        <f t="shared" si="71"/>
        <v>165093.85449500001</v>
      </c>
      <c r="L441" s="48">
        <f t="shared" si="71"/>
        <v>5913.2620900000011</v>
      </c>
      <c r="M441" s="48">
        <f t="shared" si="71"/>
        <v>5352.2183189999996</v>
      </c>
      <c r="N441" s="51">
        <f t="shared" si="71"/>
        <v>493.76119100000005</v>
      </c>
      <c r="O441" s="48">
        <f t="shared" si="71"/>
        <v>4858.457128</v>
      </c>
      <c r="P441" s="52"/>
      <c r="Q441" s="52"/>
      <c r="R441" s="53"/>
      <c r="S441" s="54">
        <f>SUM(S404:S440)</f>
        <v>48892</v>
      </c>
    </row>
    <row r="442" spans="2:19" ht="15.75" x14ac:dyDescent="0.25">
      <c r="B442" s="70"/>
      <c r="C442" s="70"/>
      <c r="D442" s="77"/>
      <c r="E442" s="64"/>
      <c r="F442" s="78"/>
      <c r="G442" s="43"/>
      <c r="H442" s="79"/>
      <c r="I442" s="78"/>
      <c r="J442" s="78"/>
      <c r="K442" s="78"/>
      <c r="L442" s="78"/>
      <c r="M442" s="78"/>
      <c r="N442" s="79"/>
      <c r="O442" s="78"/>
      <c r="P442" s="80"/>
      <c r="Q442" s="80"/>
      <c r="R442" s="81"/>
      <c r="S442" s="82"/>
    </row>
    <row r="443" spans="2:19" ht="15.75" x14ac:dyDescent="0.25">
      <c r="B443" s="70"/>
      <c r="C443" s="70"/>
      <c r="D443" s="77"/>
      <c r="E443" s="64"/>
      <c r="F443" s="78"/>
      <c r="G443" s="43"/>
      <c r="H443" s="79"/>
      <c r="I443" s="78"/>
      <c r="J443" s="78"/>
      <c r="K443" s="78"/>
      <c r="L443" s="78"/>
      <c r="M443" s="78"/>
      <c r="N443" s="79"/>
      <c r="O443" s="78"/>
      <c r="P443" s="80"/>
      <c r="Q443" s="80"/>
      <c r="R443" s="81"/>
      <c r="S443" s="82"/>
    </row>
    <row r="444" spans="2:19" ht="18.75" x14ac:dyDescent="0.3">
      <c r="B444" s="29"/>
      <c r="C444" s="33">
        <v>15</v>
      </c>
      <c r="D444" s="33" t="s">
        <v>704</v>
      </c>
      <c r="E444" s="61"/>
      <c r="F444" s="61"/>
      <c r="G444" s="43"/>
      <c r="H444" s="44"/>
      <c r="I444" s="31"/>
      <c r="J444" s="31"/>
      <c r="K444" s="31"/>
      <c r="L444" s="31"/>
      <c r="M444" s="31"/>
      <c r="N444" s="45"/>
      <c r="O444" s="31"/>
      <c r="P444" s="31"/>
      <c r="Q444" s="31"/>
      <c r="R444" s="45"/>
      <c r="S444" s="31"/>
    </row>
    <row r="445" spans="2:19" ht="15.75" x14ac:dyDescent="0.25">
      <c r="B445" s="70"/>
      <c r="C445" s="70"/>
      <c r="D445" s="77"/>
      <c r="E445" s="64"/>
      <c r="F445" s="78"/>
      <c r="G445" s="43"/>
      <c r="H445" s="79"/>
      <c r="I445" s="78"/>
      <c r="J445" s="78"/>
      <c r="K445" s="78"/>
      <c r="L445" s="78"/>
      <c r="M445" s="78"/>
      <c r="N445" s="79"/>
      <c r="O445" s="78"/>
      <c r="P445" s="80"/>
      <c r="Q445" s="80"/>
      <c r="R445" s="81"/>
      <c r="S445" s="82"/>
    </row>
    <row r="446" spans="2:19" ht="15.75" x14ac:dyDescent="0.25">
      <c r="B446" s="34">
        <v>1</v>
      </c>
      <c r="C446" s="34" t="s">
        <v>705</v>
      </c>
      <c r="D446" s="35" t="s">
        <v>706</v>
      </c>
      <c r="E446" s="36">
        <v>42551</v>
      </c>
      <c r="F446" s="37">
        <v>1145.2249999999999</v>
      </c>
      <c r="G446" s="38">
        <v>10</v>
      </c>
      <c r="H446" s="39">
        <f t="shared" ref="H446:H464" si="72">+F446/G446</f>
        <v>114.52249999999999</v>
      </c>
      <c r="I446" s="37">
        <v>10446.843000000001</v>
      </c>
      <c r="J446" s="37">
        <v>14426.4</v>
      </c>
      <c r="K446" s="37">
        <v>13918.34</v>
      </c>
      <c r="L446" s="37">
        <v>21.309000000000001</v>
      </c>
      <c r="M446" s="37">
        <v>4235.7060000000001</v>
      </c>
      <c r="N446" s="39">
        <f t="shared" ref="N446:N464" si="73">+M446-O446</f>
        <v>1345.683</v>
      </c>
      <c r="O446" s="37">
        <v>2890.0230000000001</v>
      </c>
      <c r="P446" s="40">
        <f>125</f>
        <v>125</v>
      </c>
      <c r="Q446" s="40">
        <v>0</v>
      </c>
      <c r="R446" s="41">
        <f t="shared" ref="R446:R464" si="74">SUM(P446:Q446)</f>
        <v>125</v>
      </c>
      <c r="S446" s="42">
        <v>1354</v>
      </c>
    </row>
    <row r="447" spans="2:19" ht="15.75" x14ac:dyDescent="0.25">
      <c r="B447" s="34">
        <f>+B446+1</f>
        <v>2</v>
      </c>
      <c r="C447" s="34" t="s">
        <v>707</v>
      </c>
      <c r="D447" s="35" t="s">
        <v>708</v>
      </c>
      <c r="E447" s="36">
        <v>42551</v>
      </c>
      <c r="F447" s="37">
        <v>5793.8490000000002</v>
      </c>
      <c r="G447" s="38">
        <v>10</v>
      </c>
      <c r="H447" s="39">
        <f t="shared" si="72"/>
        <v>579.38490000000002</v>
      </c>
      <c r="I447" s="37">
        <v>40620.885999999999</v>
      </c>
      <c r="J447" s="37">
        <v>77820.153999999995</v>
      </c>
      <c r="K447" s="37">
        <v>45721.04</v>
      </c>
      <c r="L447" s="37">
        <v>1822.5</v>
      </c>
      <c r="M447" s="37">
        <v>17077.993999999999</v>
      </c>
      <c r="N447" s="39">
        <f t="shared" si="73"/>
        <v>5197.5769999999993</v>
      </c>
      <c r="O447" s="37">
        <v>11880.416999999999</v>
      </c>
      <c r="P447" s="40">
        <f>25+25+25+25</f>
        <v>100</v>
      </c>
      <c r="Q447" s="40">
        <v>0</v>
      </c>
      <c r="R447" s="41">
        <f t="shared" si="74"/>
        <v>100</v>
      </c>
      <c r="S447" s="42">
        <v>4768</v>
      </c>
    </row>
    <row r="448" spans="2:19" ht="15.75" x14ac:dyDescent="0.25">
      <c r="B448" s="34">
        <f t="shared" ref="B448:B464" si="75">+B447+1</f>
        <v>3</v>
      </c>
      <c r="C448" s="34" t="s">
        <v>709</v>
      </c>
      <c r="D448" s="35" t="s">
        <v>710</v>
      </c>
      <c r="E448" s="36">
        <v>42551</v>
      </c>
      <c r="F448" s="37">
        <v>1766.318</v>
      </c>
      <c r="G448" s="38">
        <v>10</v>
      </c>
      <c r="H448" s="39">
        <f t="shared" si="72"/>
        <v>176.6318</v>
      </c>
      <c r="I448" s="37">
        <v>9140.1880000000001</v>
      </c>
      <c r="J448" s="37">
        <v>15461.972</v>
      </c>
      <c r="K448" s="37">
        <v>7079.3680000000004</v>
      </c>
      <c r="L448" s="37">
        <v>43.707999999999998</v>
      </c>
      <c r="M448" s="37">
        <v>2051.3969999999999</v>
      </c>
      <c r="N448" s="39">
        <f t="shared" si="73"/>
        <v>646.20499999999993</v>
      </c>
      <c r="O448" s="37">
        <v>1405.192</v>
      </c>
      <c r="P448" s="40">
        <f>10+22.5</f>
        <v>32.5</v>
      </c>
      <c r="Q448" s="40">
        <v>0</v>
      </c>
      <c r="R448" s="41">
        <f t="shared" si="74"/>
        <v>32.5</v>
      </c>
      <c r="S448" s="42">
        <v>4643</v>
      </c>
    </row>
    <row r="449" spans="2:19" ht="15.75" x14ac:dyDescent="0.25">
      <c r="B449" s="34">
        <f t="shared" si="75"/>
        <v>4</v>
      </c>
      <c r="C449" s="34" t="s">
        <v>711</v>
      </c>
      <c r="D449" s="35" t="s">
        <v>712</v>
      </c>
      <c r="E449" s="36">
        <v>42551</v>
      </c>
      <c r="F449" s="37">
        <v>4841.1329999999998</v>
      </c>
      <c r="G449" s="38">
        <v>10</v>
      </c>
      <c r="H449" s="39">
        <f t="shared" si="72"/>
        <v>484.11329999999998</v>
      </c>
      <c r="I449" s="37">
        <v>8419.8559999999998</v>
      </c>
      <c r="J449" s="37">
        <v>25434.769</v>
      </c>
      <c r="K449" s="37">
        <v>12879.094999999999</v>
      </c>
      <c r="L449" s="37">
        <v>21.677</v>
      </c>
      <c r="M449" s="37">
        <v>1911.8340000000001</v>
      </c>
      <c r="N449" s="39">
        <f t="shared" si="73"/>
        <v>411.89300000000003</v>
      </c>
      <c r="O449" s="37">
        <v>1499.941</v>
      </c>
      <c r="P449" s="40">
        <v>0</v>
      </c>
      <c r="Q449" s="40">
        <v>0</v>
      </c>
      <c r="R449" s="41">
        <f t="shared" si="74"/>
        <v>0</v>
      </c>
      <c r="S449" s="42">
        <v>7685</v>
      </c>
    </row>
    <row r="450" spans="2:19" ht="15.75" x14ac:dyDescent="0.25">
      <c r="B450" s="34">
        <f t="shared" si="75"/>
        <v>5</v>
      </c>
      <c r="C450" s="34" t="s">
        <v>713</v>
      </c>
      <c r="D450" s="35" t="s">
        <v>714</v>
      </c>
      <c r="E450" s="36">
        <v>42551</v>
      </c>
      <c r="F450" s="37">
        <v>4381.1909999999998</v>
      </c>
      <c r="G450" s="38">
        <v>10</v>
      </c>
      <c r="H450" s="39">
        <f t="shared" si="72"/>
        <v>438.1191</v>
      </c>
      <c r="I450" s="37">
        <v>65783.429000000004</v>
      </c>
      <c r="J450" s="37">
        <v>83418.264999999999</v>
      </c>
      <c r="K450" s="37">
        <v>29703.758000000002</v>
      </c>
      <c r="L450" s="37">
        <v>130.45099999999999</v>
      </c>
      <c r="M450" s="37">
        <v>12480.744000000001</v>
      </c>
      <c r="N450" s="39">
        <f t="shared" si="73"/>
        <v>3691.0720000000001</v>
      </c>
      <c r="O450" s="37">
        <v>8789.6720000000005</v>
      </c>
      <c r="P450" s="40">
        <f>60</f>
        <v>60</v>
      </c>
      <c r="Q450" s="40">
        <v>0</v>
      </c>
      <c r="R450" s="41">
        <f t="shared" si="74"/>
        <v>60</v>
      </c>
      <c r="S450" s="42">
        <v>5262</v>
      </c>
    </row>
    <row r="451" spans="2:19" ht="15.75" x14ac:dyDescent="0.25">
      <c r="B451" s="34">
        <f t="shared" si="75"/>
        <v>6</v>
      </c>
      <c r="C451" s="34" t="s">
        <v>715</v>
      </c>
      <c r="D451" s="35" t="s">
        <v>716</v>
      </c>
      <c r="E451" s="36">
        <v>42551</v>
      </c>
      <c r="F451" s="37">
        <v>948.39980000000003</v>
      </c>
      <c r="G451" s="38">
        <v>10</v>
      </c>
      <c r="H451" s="39">
        <f t="shared" si="72"/>
        <v>94.839979999999997</v>
      </c>
      <c r="I451" s="37">
        <v>-3491.5586060000001</v>
      </c>
      <c r="J451" s="37">
        <v>4490.1734500000002</v>
      </c>
      <c r="K451" s="37">
        <v>2346.9368479999998</v>
      </c>
      <c r="L451" s="37">
        <v>171.989656</v>
      </c>
      <c r="M451" s="37">
        <v>-256.77401600000002</v>
      </c>
      <c r="N451" s="39">
        <f t="shared" si="73"/>
        <v>23.478485999999975</v>
      </c>
      <c r="O451" s="37">
        <v>-280.25250199999999</v>
      </c>
      <c r="P451" s="40">
        <v>0</v>
      </c>
      <c r="Q451" s="40">
        <v>0</v>
      </c>
      <c r="R451" s="41">
        <f t="shared" si="74"/>
        <v>0</v>
      </c>
      <c r="S451" s="42">
        <v>759</v>
      </c>
    </row>
    <row r="452" spans="2:19" ht="15.75" x14ac:dyDescent="0.25">
      <c r="B452" s="34">
        <f t="shared" si="75"/>
        <v>7</v>
      </c>
      <c r="C452" s="34" t="s">
        <v>717</v>
      </c>
      <c r="D452" s="35" t="s">
        <v>718</v>
      </c>
      <c r="E452" s="36">
        <v>42551</v>
      </c>
      <c r="F452" s="37">
        <v>13798.15</v>
      </c>
      <c r="G452" s="38">
        <v>10</v>
      </c>
      <c r="H452" s="39">
        <f t="shared" si="72"/>
        <v>1379.8150000000001</v>
      </c>
      <c r="I452" s="37">
        <v>18427.855</v>
      </c>
      <c r="J452" s="37">
        <v>29357.651999999998</v>
      </c>
      <c r="K452" s="37">
        <v>20044.437999999998</v>
      </c>
      <c r="L452" s="37">
        <v>503.346</v>
      </c>
      <c r="M452" s="37">
        <v>7831.3059999999996</v>
      </c>
      <c r="N452" s="39">
        <f t="shared" si="73"/>
        <v>2464.1059999999998</v>
      </c>
      <c r="O452" s="37">
        <v>5367.2</v>
      </c>
      <c r="P452" s="40">
        <f>17.5+10</f>
        <v>27.5</v>
      </c>
      <c r="Q452" s="40">
        <v>0</v>
      </c>
      <c r="R452" s="41">
        <f t="shared" si="74"/>
        <v>27.5</v>
      </c>
      <c r="S452" s="42">
        <v>9905</v>
      </c>
    </row>
    <row r="453" spans="2:19" ht="15.75" x14ac:dyDescent="0.25">
      <c r="B453" s="34">
        <f t="shared" si="75"/>
        <v>8</v>
      </c>
      <c r="C453" s="34" t="s">
        <v>719</v>
      </c>
      <c r="D453" s="35" t="s">
        <v>720</v>
      </c>
      <c r="E453" s="36">
        <v>42551</v>
      </c>
      <c r="F453" s="37">
        <v>501.6</v>
      </c>
      <c r="G453" s="38">
        <v>10</v>
      </c>
      <c r="H453" s="39">
        <f t="shared" si="72"/>
        <v>50.160000000000004</v>
      </c>
      <c r="I453" s="37">
        <v>3233.45</v>
      </c>
      <c r="J453" s="37">
        <v>4076.7080000000001</v>
      </c>
      <c r="K453" s="37">
        <v>5031.6220000000003</v>
      </c>
      <c r="L453" s="37">
        <v>12.483000000000001</v>
      </c>
      <c r="M453" s="37">
        <v>1158.876</v>
      </c>
      <c r="N453" s="39">
        <f t="shared" si="73"/>
        <v>345.05099999999993</v>
      </c>
      <c r="O453" s="37">
        <v>813.82500000000005</v>
      </c>
      <c r="P453" s="40">
        <f>50+20</f>
        <v>70</v>
      </c>
      <c r="Q453" s="40">
        <v>0</v>
      </c>
      <c r="R453" s="41">
        <f t="shared" si="74"/>
        <v>70</v>
      </c>
      <c r="S453" s="42">
        <v>1980</v>
      </c>
    </row>
    <row r="454" spans="2:19" ht="15.75" x14ac:dyDescent="0.25">
      <c r="B454" s="34">
        <f t="shared" si="75"/>
        <v>9</v>
      </c>
      <c r="C454" s="34" t="s">
        <v>721</v>
      </c>
      <c r="D454" s="35" t="s">
        <v>722</v>
      </c>
      <c r="E454" s="36">
        <v>42551</v>
      </c>
      <c r="F454" s="37">
        <v>1760</v>
      </c>
      <c r="G454" s="38">
        <v>10</v>
      </c>
      <c r="H454" s="39">
        <f t="shared" si="72"/>
        <v>176</v>
      </c>
      <c r="I454" s="37">
        <v>2047.026785</v>
      </c>
      <c r="J454" s="37">
        <v>6319.5731830000004</v>
      </c>
      <c r="K454" s="37">
        <v>2475.7779270000001</v>
      </c>
      <c r="L454" s="37">
        <v>2.9154870000000002</v>
      </c>
      <c r="M454" s="37">
        <v>195.33490599999999</v>
      </c>
      <c r="N454" s="39">
        <f t="shared" si="73"/>
        <v>49.638437999999979</v>
      </c>
      <c r="O454" s="37">
        <v>145.69646800000001</v>
      </c>
      <c r="P454" s="40">
        <v>0</v>
      </c>
      <c r="Q454" s="40">
        <v>0</v>
      </c>
      <c r="R454" s="41">
        <f t="shared" si="74"/>
        <v>0</v>
      </c>
      <c r="S454" s="42">
        <v>3476</v>
      </c>
    </row>
    <row r="455" spans="2:19" ht="15.75" x14ac:dyDescent="0.25">
      <c r="B455" s="34">
        <f t="shared" si="75"/>
        <v>10</v>
      </c>
      <c r="C455" s="34" t="s">
        <v>723</v>
      </c>
      <c r="D455" s="35" t="s">
        <v>724</v>
      </c>
      <c r="E455" s="36">
        <v>42551</v>
      </c>
      <c r="F455" s="37">
        <v>4002.739</v>
      </c>
      <c r="G455" s="38">
        <v>10</v>
      </c>
      <c r="H455" s="39">
        <f t="shared" si="72"/>
        <v>400.27390000000003</v>
      </c>
      <c r="I455" s="37">
        <v>6319.0370000000003</v>
      </c>
      <c r="J455" s="37">
        <v>18052.29</v>
      </c>
      <c r="K455" s="37">
        <v>10522.317999999999</v>
      </c>
      <c r="L455" s="37">
        <v>266.01400000000001</v>
      </c>
      <c r="M455" s="37">
        <v>3707.4769999999999</v>
      </c>
      <c r="N455" s="39">
        <f t="shared" si="73"/>
        <v>1013.5729999999999</v>
      </c>
      <c r="O455" s="37">
        <v>2693.904</v>
      </c>
      <c r="P455" s="40">
        <f>15+10</f>
        <v>25</v>
      </c>
      <c r="Q455" s="40">
        <v>0</v>
      </c>
      <c r="R455" s="41">
        <f t="shared" si="74"/>
        <v>25</v>
      </c>
      <c r="S455" s="42">
        <v>2190</v>
      </c>
    </row>
    <row r="456" spans="2:19" ht="15.75" x14ac:dyDescent="0.25">
      <c r="B456" s="34">
        <f t="shared" si="75"/>
        <v>11</v>
      </c>
      <c r="C456" s="34" t="s">
        <v>725</v>
      </c>
      <c r="D456" s="35" t="s">
        <v>726</v>
      </c>
      <c r="E456" s="36">
        <v>42551</v>
      </c>
      <c r="F456" s="37">
        <v>1293.683</v>
      </c>
      <c r="G456" s="38">
        <v>10</v>
      </c>
      <c r="H456" s="39">
        <f t="shared" si="72"/>
        <v>129.3683</v>
      </c>
      <c r="I456" s="37">
        <v>2581.8780000000002</v>
      </c>
      <c r="J456" s="37">
        <v>13060.519</v>
      </c>
      <c r="K456" s="37">
        <v>1227.915</v>
      </c>
      <c r="L456" s="37">
        <v>181.22900000000001</v>
      </c>
      <c r="M456" s="37">
        <v>600.38199999999995</v>
      </c>
      <c r="N456" s="39">
        <f t="shared" si="73"/>
        <v>-95.234000000000037</v>
      </c>
      <c r="O456" s="37">
        <v>695.61599999999999</v>
      </c>
      <c r="P456" s="40">
        <v>0</v>
      </c>
      <c r="Q456" s="40">
        <v>0</v>
      </c>
      <c r="R456" s="41">
        <f t="shared" si="74"/>
        <v>0</v>
      </c>
      <c r="S456" s="42">
        <v>3457</v>
      </c>
    </row>
    <row r="457" spans="2:19" ht="15.75" x14ac:dyDescent="0.25">
      <c r="B457" s="34">
        <f t="shared" si="75"/>
        <v>12</v>
      </c>
      <c r="C457" s="34" t="s">
        <v>727</v>
      </c>
      <c r="D457" s="35" t="s">
        <v>728</v>
      </c>
      <c r="E457" s="36">
        <v>42551</v>
      </c>
      <c r="F457" s="37">
        <v>1545.0869</v>
      </c>
      <c r="G457" s="38">
        <v>10</v>
      </c>
      <c r="H457" s="39">
        <f t="shared" si="72"/>
        <v>154.50869</v>
      </c>
      <c r="I457" s="37">
        <v>13770.089931</v>
      </c>
      <c r="J457" s="37">
        <v>19345.142417999999</v>
      </c>
      <c r="K457" s="37">
        <v>14019.842677000001</v>
      </c>
      <c r="L457" s="37">
        <v>78.116546</v>
      </c>
      <c r="M457" s="37">
        <v>6174.0669520000001</v>
      </c>
      <c r="N457" s="39">
        <f t="shared" si="73"/>
        <v>1765.9914920000001</v>
      </c>
      <c r="O457" s="37">
        <v>4408.07546</v>
      </c>
      <c r="P457" s="40">
        <f>50+10</f>
        <v>60</v>
      </c>
      <c r="Q457" s="40">
        <v>0</v>
      </c>
      <c r="R457" s="41">
        <f t="shared" si="74"/>
        <v>60</v>
      </c>
      <c r="S457" s="42">
        <v>2229</v>
      </c>
    </row>
    <row r="458" spans="2:19" ht="15.75" x14ac:dyDescent="0.25">
      <c r="B458" s="34">
        <f t="shared" si="75"/>
        <v>13</v>
      </c>
      <c r="C458" s="34" t="s">
        <v>729</v>
      </c>
      <c r="D458" s="35" t="s">
        <v>730</v>
      </c>
      <c r="E458" s="36">
        <v>42551</v>
      </c>
      <c r="F458" s="37"/>
      <c r="G458" s="38">
        <v>10</v>
      </c>
      <c r="H458" s="39">
        <f t="shared" si="72"/>
        <v>0</v>
      </c>
      <c r="I458" s="37"/>
      <c r="J458" s="37"/>
      <c r="K458" s="37"/>
      <c r="L458" s="37"/>
      <c r="M458" s="37"/>
      <c r="N458" s="39">
        <f t="shared" si="73"/>
        <v>0</v>
      </c>
      <c r="O458" s="37"/>
      <c r="P458" s="40"/>
      <c r="Q458" s="40"/>
      <c r="R458" s="41">
        <f t="shared" si="74"/>
        <v>0</v>
      </c>
      <c r="S458" s="42"/>
    </row>
    <row r="459" spans="2:19" ht="15.75" x14ac:dyDescent="0.25">
      <c r="B459" s="34">
        <f t="shared" si="75"/>
        <v>14</v>
      </c>
      <c r="C459" s="34" t="s">
        <v>731</v>
      </c>
      <c r="D459" s="35" t="s">
        <v>732</v>
      </c>
      <c r="E459" s="36">
        <v>42551</v>
      </c>
      <c r="F459" s="37">
        <v>3233.75</v>
      </c>
      <c r="G459" s="38">
        <v>10</v>
      </c>
      <c r="H459" s="39">
        <f t="shared" si="72"/>
        <v>323.375</v>
      </c>
      <c r="I459" s="37">
        <v>69322.838000000003</v>
      </c>
      <c r="J459" s="37">
        <v>85922.406000000003</v>
      </c>
      <c r="K459" s="37">
        <v>45222.089</v>
      </c>
      <c r="L459" s="37">
        <v>23.884</v>
      </c>
      <c r="M459" s="37">
        <v>18400.222000000002</v>
      </c>
      <c r="N459" s="39">
        <f t="shared" si="73"/>
        <v>5456.0370000000021</v>
      </c>
      <c r="O459" s="37">
        <v>12944.184999999999</v>
      </c>
      <c r="P459" s="40">
        <f>100</f>
        <v>100</v>
      </c>
      <c r="Q459" s="40">
        <v>0</v>
      </c>
      <c r="R459" s="41">
        <f t="shared" si="74"/>
        <v>100</v>
      </c>
      <c r="S459" s="42">
        <v>6294</v>
      </c>
    </row>
    <row r="460" spans="2:19" ht="15.75" x14ac:dyDescent="0.25">
      <c r="B460" s="34">
        <f t="shared" si="75"/>
        <v>15</v>
      </c>
      <c r="C460" s="34" t="s">
        <v>733</v>
      </c>
      <c r="D460" s="35" t="s">
        <v>734</v>
      </c>
      <c r="E460" s="36">
        <v>42551</v>
      </c>
      <c r="F460" s="37">
        <v>5277.34</v>
      </c>
      <c r="G460" s="38">
        <v>10</v>
      </c>
      <c r="H460" s="39">
        <f t="shared" si="72"/>
        <v>527.73400000000004</v>
      </c>
      <c r="I460" s="37">
        <v>16749.88</v>
      </c>
      <c r="J460" s="37">
        <v>32021.696</v>
      </c>
      <c r="K460" s="37">
        <v>23432.696</v>
      </c>
      <c r="L460" s="37">
        <v>435.50400000000002</v>
      </c>
      <c r="M460" s="37">
        <v>7117.5379999999996</v>
      </c>
      <c r="N460" s="39">
        <f t="shared" si="73"/>
        <v>2232.9529999999995</v>
      </c>
      <c r="O460" s="37">
        <v>4884.585</v>
      </c>
      <c r="P460" s="40">
        <f>15+25</f>
        <v>40</v>
      </c>
      <c r="Q460" s="40">
        <v>0</v>
      </c>
      <c r="R460" s="41">
        <f t="shared" si="74"/>
        <v>40</v>
      </c>
      <c r="S460" s="42">
        <v>7723</v>
      </c>
    </row>
    <row r="461" spans="2:19" ht="15.75" x14ac:dyDescent="0.25">
      <c r="B461" s="34">
        <f t="shared" si="75"/>
        <v>16</v>
      </c>
      <c r="C461" s="34" t="s">
        <v>735</v>
      </c>
      <c r="D461" s="35" t="s">
        <v>736</v>
      </c>
      <c r="E461" s="36">
        <v>42551</v>
      </c>
      <c r="F461" s="37">
        <v>2271.489</v>
      </c>
      <c r="G461" s="38">
        <v>10</v>
      </c>
      <c r="H461" s="39">
        <f t="shared" si="72"/>
        <v>227.1489</v>
      </c>
      <c r="I461" s="37">
        <v>7820.6970000000001</v>
      </c>
      <c r="J461" s="37">
        <v>14767.699000000001</v>
      </c>
      <c r="K461" s="37">
        <v>9366.5329999999994</v>
      </c>
      <c r="L461" s="37">
        <v>17.471</v>
      </c>
      <c r="M461" s="37">
        <v>3846.6080000000002</v>
      </c>
      <c r="N461" s="39">
        <f t="shared" si="73"/>
        <v>1327.8300000000004</v>
      </c>
      <c r="O461" s="37">
        <v>2518.7779999999998</v>
      </c>
      <c r="P461" s="40">
        <f>25+37.5</f>
        <v>62.5</v>
      </c>
      <c r="Q461" s="40">
        <v>0</v>
      </c>
      <c r="R461" s="41">
        <f t="shared" si="74"/>
        <v>62.5</v>
      </c>
      <c r="S461" s="42">
        <v>6680</v>
      </c>
    </row>
    <row r="462" spans="2:19" ht="15.75" x14ac:dyDescent="0.25">
      <c r="B462" s="34">
        <f t="shared" si="75"/>
        <v>17</v>
      </c>
      <c r="C462" s="34" t="s">
        <v>737</v>
      </c>
      <c r="D462" s="35" t="s">
        <v>738</v>
      </c>
      <c r="E462" s="36">
        <v>42551</v>
      </c>
      <c r="F462" s="37">
        <v>3656.9</v>
      </c>
      <c r="G462" s="38">
        <v>10</v>
      </c>
      <c r="H462" s="39">
        <f t="shared" si="72"/>
        <v>365.69</v>
      </c>
      <c r="I462" s="37">
        <v>2348.11</v>
      </c>
      <c r="J462" s="37">
        <v>6242.9780000000001</v>
      </c>
      <c r="K462" s="37">
        <v>4144.4549999999999</v>
      </c>
      <c r="L462" s="37">
        <v>282.88</v>
      </c>
      <c r="M462" s="37">
        <v>764.77200000000005</v>
      </c>
      <c r="N462" s="39">
        <f t="shared" si="73"/>
        <v>278.38100000000003</v>
      </c>
      <c r="O462" s="37">
        <v>486.39100000000002</v>
      </c>
      <c r="P462" s="40">
        <v>0</v>
      </c>
      <c r="Q462" s="40">
        <v>0</v>
      </c>
      <c r="R462" s="41">
        <f t="shared" si="74"/>
        <v>0</v>
      </c>
      <c r="S462" s="42">
        <v>5126</v>
      </c>
    </row>
    <row r="463" spans="2:19" ht="15.75" x14ac:dyDescent="0.25">
      <c r="B463" s="34">
        <f t="shared" si="75"/>
        <v>18</v>
      </c>
      <c r="C463" s="34" t="s">
        <v>739</v>
      </c>
      <c r="D463" s="35" t="s">
        <v>740</v>
      </c>
      <c r="E463" s="36">
        <v>42551</v>
      </c>
      <c r="F463" s="37">
        <v>250</v>
      </c>
      <c r="G463" s="38">
        <v>10</v>
      </c>
      <c r="H463" s="39">
        <f t="shared" si="72"/>
        <v>25</v>
      </c>
      <c r="I463" s="37">
        <v>256.44101899999998</v>
      </c>
      <c r="J463" s="37">
        <v>453.98726599999998</v>
      </c>
      <c r="K463" s="37">
        <v>304.46734199999997</v>
      </c>
      <c r="L463" s="37">
        <v>6.7217229999999999</v>
      </c>
      <c r="M463" s="37">
        <v>-54.897677000000002</v>
      </c>
      <c r="N463" s="39">
        <f t="shared" si="73"/>
        <v>-17.646920000000001</v>
      </c>
      <c r="O463" s="37">
        <v>-37.250757</v>
      </c>
      <c r="P463" s="40">
        <v>0</v>
      </c>
      <c r="Q463" s="40">
        <v>0</v>
      </c>
      <c r="R463" s="41">
        <f t="shared" si="74"/>
        <v>0</v>
      </c>
      <c r="S463" s="42">
        <v>993</v>
      </c>
    </row>
    <row r="464" spans="2:19" ht="15.75" x14ac:dyDescent="0.25">
      <c r="B464" s="34">
        <f t="shared" si="75"/>
        <v>19</v>
      </c>
      <c r="C464" s="34" t="s">
        <v>741</v>
      </c>
      <c r="D464" s="35" t="s">
        <v>742</v>
      </c>
      <c r="E464" s="36">
        <v>42551</v>
      </c>
      <c r="F464" s="37">
        <v>997.18100000000004</v>
      </c>
      <c r="G464" s="38">
        <v>10</v>
      </c>
      <c r="H464" s="39">
        <f t="shared" si="72"/>
        <v>99.718100000000007</v>
      </c>
      <c r="I464" s="37">
        <v>2010.4469999999999</v>
      </c>
      <c r="J464" s="37">
        <v>3944.6289999999999</v>
      </c>
      <c r="K464" s="37">
        <v>2846.1469999999999</v>
      </c>
      <c r="L464" s="37">
        <v>124.995</v>
      </c>
      <c r="M464" s="37">
        <v>666.00900000000001</v>
      </c>
      <c r="N464" s="39">
        <f t="shared" si="73"/>
        <v>51.566000000000031</v>
      </c>
      <c r="O464" s="37">
        <v>614.44299999999998</v>
      </c>
      <c r="P464" s="40">
        <f>15</f>
        <v>15</v>
      </c>
      <c r="Q464" s="40">
        <v>0</v>
      </c>
      <c r="R464" s="41">
        <f t="shared" si="74"/>
        <v>15</v>
      </c>
      <c r="S464" s="42">
        <v>984</v>
      </c>
    </row>
    <row r="466" spans="2:19" ht="15.75" x14ac:dyDescent="0.25">
      <c r="B466" s="70"/>
      <c r="C466" s="70"/>
      <c r="D466" s="77"/>
      <c r="E466" s="64"/>
      <c r="F466" s="78"/>
      <c r="G466" s="43"/>
      <c r="H466" s="79"/>
      <c r="I466" s="78"/>
      <c r="J466" s="78"/>
      <c r="K466" s="78"/>
      <c r="L466" s="78"/>
      <c r="M466" s="78"/>
      <c r="N466" s="79"/>
      <c r="O466" s="78"/>
      <c r="P466" s="80"/>
      <c r="Q466" s="80"/>
      <c r="R466" s="81"/>
      <c r="S466" s="82"/>
    </row>
    <row r="467" spans="2:19" ht="18.75" x14ac:dyDescent="0.3">
      <c r="B467" s="29"/>
      <c r="C467" s="29"/>
      <c r="D467" s="57" t="s">
        <v>45</v>
      </c>
      <c r="E467" s="29"/>
      <c r="F467" s="29"/>
      <c r="G467" s="43"/>
      <c r="H467" s="44"/>
      <c r="I467" s="31"/>
      <c r="J467" s="31"/>
      <c r="K467" s="31"/>
      <c r="L467" s="31"/>
      <c r="M467" s="31"/>
      <c r="N467" s="45"/>
      <c r="O467" s="31"/>
      <c r="P467" s="31"/>
      <c r="Q467" s="31"/>
      <c r="R467" s="45"/>
      <c r="S467" s="31"/>
    </row>
    <row r="468" spans="2:19" ht="15.75" x14ac:dyDescent="0.25">
      <c r="B468" s="34">
        <v>1</v>
      </c>
      <c r="C468" s="34" t="s">
        <v>743</v>
      </c>
      <c r="D468" s="47" t="s">
        <v>744</v>
      </c>
      <c r="E468" s="36">
        <v>42551</v>
      </c>
      <c r="F468" s="37">
        <v>982.36599999999999</v>
      </c>
      <c r="G468" s="38">
        <v>10</v>
      </c>
      <c r="H468" s="39">
        <f>+F468/G468</f>
        <v>98.236599999999996</v>
      </c>
      <c r="I468" s="37">
        <v>154.15100000000001</v>
      </c>
      <c r="J468" s="37">
        <v>3779.74</v>
      </c>
      <c r="K468" s="37">
        <v>0</v>
      </c>
      <c r="L468" s="37">
        <v>2E-3</v>
      </c>
      <c r="M468" s="37">
        <v>-27.209</v>
      </c>
      <c r="N468" s="39">
        <f>+M468-O468</f>
        <v>-27.853999999999999</v>
      </c>
      <c r="O468" s="37">
        <v>0.64500000000000002</v>
      </c>
      <c r="P468" s="40">
        <v>0</v>
      </c>
      <c r="Q468" s="40">
        <v>0</v>
      </c>
      <c r="R468" s="41">
        <f>SUM(P468:Q468)</f>
        <v>0</v>
      </c>
      <c r="S468" s="42">
        <v>4820</v>
      </c>
    </row>
    <row r="469" spans="2:19" ht="15.75" x14ac:dyDescent="0.25">
      <c r="B469" s="34">
        <f>+B468+1</f>
        <v>2</v>
      </c>
      <c r="C469" s="34" t="s">
        <v>745</v>
      </c>
      <c r="D469" s="35" t="s">
        <v>746</v>
      </c>
      <c r="E469" s="36">
        <v>42551</v>
      </c>
      <c r="F469" s="37">
        <v>4278.3850000000002</v>
      </c>
      <c r="G469" s="38">
        <v>10</v>
      </c>
      <c r="H469" s="39">
        <f>+F469/G469</f>
        <v>427.83850000000001</v>
      </c>
      <c r="I469" s="37">
        <v>-2876.7840000000001</v>
      </c>
      <c r="J469" s="37">
        <v>6262.2309999999998</v>
      </c>
      <c r="K469" s="37">
        <v>1249.5239999999999</v>
      </c>
      <c r="L469" s="37">
        <v>2.9569999999999999</v>
      </c>
      <c r="M469" s="37">
        <v>-268.767</v>
      </c>
      <c r="N469" s="39">
        <f>+M469-O469</f>
        <v>12.495000000000005</v>
      </c>
      <c r="O469" s="37">
        <v>-281.262</v>
      </c>
      <c r="P469" s="40">
        <v>0</v>
      </c>
      <c r="Q469" s="40">
        <v>0</v>
      </c>
      <c r="R469" s="41">
        <f>SUM(P469:Q469)</f>
        <v>0</v>
      </c>
      <c r="S469" s="42">
        <v>14732</v>
      </c>
    </row>
    <row r="470" spans="2:19" ht="15.75" x14ac:dyDescent="0.25">
      <c r="B470" s="70"/>
      <c r="C470" s="70"/>
      <c r="D470" s="77"/>
      <c r="E470" s="64"/>
      <c r="F470" s="78"/>
      <c r="G470" s="43"/>
      <c r="H470" s="79"/>
      <c r="I470" s="78"/>
      <c r="J470" s="78"/>
      <c r="K470" s="78"/>
      <c r="L470" s="78"/>
      <c r="M470" s="78"/>
      <c r="N470" s="79"/>
      <c r="O470" s="78"/>
      <c r="P470" s="80"/>
      <c r="Q470" s="80"/>
      <c r="R470" s="81"/>
      <c r="S470" s="82"/>
    </row>
    <row r="471" spans="2:19" ht="15.75" x14ac:dyDescent="0.25">
      <c r="B471" s="34">
        <f>COUNT(B446:B470)</f>
        <v>21</v>
      </c>
      <c r="C471" s="34"/>
      <c r="D471" s="48"/>
      <c r="E471" s="48"/>
      <c r="F471" s="48">
        <f>SUM(F446:F470)</f>
        <v>62724.7857</v>
      </c>
      <c r="G471" s="49"/>
      <c r="H471" s="50">
        <f t="shared" ref="H471:O471" si="76">SUM(H446:H470)</f>
        <v>6272.4785700000002</v>
      </c>
      <c r="I471" s="48">
        <f t="shared" si="76"/>
        <v>273084.760129</v>
      </c>
      <c r="J471" s="48">
        <f t="shared" si="76"/>
        <v>464658.98431700002</v>
      </c>
      <c r="K471" s="48">
        <f t="shared" si="76"/>
        <v>251536.36279399999</v>
      </c>
      <c r="L471" s="48">
        <f t="shared" si="76"/>
        <v>4150.1534120000015</v>
      </c>
      <c r="M471" s="48">
        <f t="shared" si="76"/>
        <v>87612.619164999982</v>
      </c>
      <c r="N471" s="51">
        <f t="shared" si="76"/>
        <v>26172.795496000002</v>
      </c>
      <c r="O471" s="48">
        <f t="shared" si="76"/>
        <v>61439.82366899999</v>
      </c>
      <c r="P471" s="52"/>
      <c r="Q471" s="52"/>
      <c r="R471" s="53"/>
      <c r="S471" s="54">
        <f>SUM(S446:S470)</f>
        <v>95060</v>
      </c>
    </row>
    <row r="472" spans="2:19" ht="15.75" x14ac:dyDescent="0.25">
      <c r="B472" s="70"/>
      <c r="C472" s="70"/>
      <c r="D472" s="77"/>
      <c r="E472" s="64"/>
      <c r="F472" s="78"/>
      <c r="G472" s="43"/>
      <c r="H472" s="79"/>
      <c r="I472" s="78"/>
      <c r="J472" s="78"/>
      <c r="K472" s="78"/>
      <c r="L472" s="78"/>
      <c r="M472" s="78"/>
      <c r="N472" s="79"/>
      <c r="O472" s="78"/>
      <c r="P472" s="80"/>
      <c r="Q472" s="80"/>
      <c r="R472" s="81"/>
      <c r="S472" s="82"/>
    </row>
    <row r="473" spans="2:19" ht="15.75" x14ac:dyDescent="0.25">
      <c r="B473" s="70"/>
      <c r="C473" s="70"/>
      <c r="D473" s="77"/>
      <c r="E473" s="64"/>
      <c r="F473" s="78"/>
      <c r="G473" s="43"/>
      <c r="H473" s="79"/>
      <c r="I473" s="78"/>
      <c r="J473" s="78"/>
      <c r="K473" s="78"/>
      <c r="L473" s="78"/>
      <c r="M473" s="78"/>
      <c r="N473" s="79"/>
      <c r="O473" s="78"/>
      <c r="P473" s="80"/>
      <c r="Q473" s="80"/>
      <c r="R473" s="81"/>
      <c r="S473" s="82"/>
    </row>
    <row r="474" spans="2:19" ht="18.75" x14ac:dyDescent="0.3">
      <c r="B474" s="29"/>
      <c r="C474" s="33">
        <v>16</v>
      </c>
      <c r="D474" s="33" t="s">
        <v>747</v>
      </c>
      <c r="E474" s="61"/>
      <c r="F474" s="61"/>
      <c r="G474" s="43"/>
      <c r="H474" s="44"/>
      <c r="I474" s="31"/>
      <c r="J474" s="31"/>
      <c r="K474" s="31"/>
      <c r="L474" s="31"/>
      <c r="M474" s="31"/>
      <c r="N474" s="45"/>
      <c r="O474" s="31"/>
      <c r="P474" s="31"/>
      <c r="Q474" s="31"/>
      <c r="R474" s="45"/>
      <c r="S474" s="31"/>
    </row>
    <row r="475" spans="2:19" ht="15.75" x14ac:dyDescent="0.25">
      <c r="B475" s="70"/>
      <c r="C475" s="70"/>
      <c r="D475" s="77"/>
      <c r="E475" s="64"/>
      <c r="F475" s="78"/>
      <c r="G475" s="43"/>
      <c r="H475" s="79"/>
      <c r="I475" s="78"/>
      <c r="J475" s="78"/>
      <c r="K475" s="78"/>
      <c r="L475" s="78"/>
      <c r="M475" s="78"/>
      <c r="N475" s="79"/>
      <c r="O475" s="78"/>
      <c r="P475" s="80"/>
      <c r="Q475" s="80"/>
      <c r="R475" s="81"/>
      <c r="S475" s="82"/>
    </row>
    <row r="476" spans="2:19" ht="15.75" x14ac:dyDescent="0.25">
      <c r="B476" s="34">
        <v>1</v>
      </c>
      <c r="C476" s="34" t="s">
        <v>748</v>
      </c>
      <c r="D476" s="35" t="s">
        <v>749</v>
      </c>
      <c r="E476" s="36">
        <v>42551</v>
      </c>
      <c r="F476" s="37">
        <v>12.018409999999999</v>
      </c>
      <c r="G476" s="38">
        <v>10</v>
      </c>
      <c r="H476" s="39">
        <f>+F476/G476</f>
        <v>1.2018409999999999</v>
      </c>
      <c r="I476" s="37">
        <v>624.32221600000003</v>
      </c>
      <c r="J476" s="37">
        <v>1138.5495599999999</v>
      </c>
      <c r="K476" s="37">
        <v>758.26397899999995</v>
      </c>
      <c r="L476" s="37">
        <v>4.4308649999999998</v>
      </c>
      <c r="M476" s="37">
        <v>81.221506000000005</v>
      </c>
      <c r="N476" s="39">
        <f>+M476-O476</f>
        <v>11.611429999999999</v>
      </c>
      <c r="O476" s="37">
        <v>69.610076000000007</v>
      </c>
      <c r="P476" s="40">
        <f>100</f>
        <v>100</v>
      </c>
      <c r="Q476" s="40">
        <v>0</v>
      </c>
      <c r="R476" s="41">
        <f>SUM(P476:Q476)</f>
        <v>100</v>
      </c>
      <c r="S476" s="42">
        <v>776</v>
      </c>
    </row>
    <row r="477" spans="2:19" ht="15.75" x14ac:dyDescent="0.25">
      <c r="B477" s="34">
        <f>+B476+1</f>
        <v>2</v>
      </c>
      <c r="C477" s="34" t="s">
        <v>750</v>
      </c>
      <c r="D477" s="35" t="s">
        <v>751</v>
      </c>
      <c r="E477" s="36">
        <v>42735</v>
      </c>
      <c r="F477" s="37">
        <v>2554.9380000000001</v>
      </c>
      <c r="G477" s="38">
        <v>10</v>
      </c>
      <c r="H477" s="39">
        <f>+F477/G477</f>
        <v>255.49380000000002</v>
      </c>
      <c r="I477" s="37">
        <v>12976.63</v>
      </c>
      <c r="J477" s="37">
        <v>25397.492999999999</v>
      </c>
      <c r="K477" s="37">
        <v>44866.504000000001</v>
      </c>
      <c r="L477" s="37">
        <v>45.829000000000001</v>
      </c>
      <c r="M477" s="37">
        <v>15382.147999999999</v>
      </c>
      <c r="N477" s="39">
        <f>+M477-O477</f>
        <v>5020.7959999999985</v>
      </c>
      <c r="O477" s="37">
        <v>10361.352000000001</v>
      </c>
      <c r="P477" s="40">
        <f>60+80+110</f>
        <v>250</v>
      </c>
      <c r="Q477" s="40">
        <v>0</v>
      </c>
      <c r="R477" s="41">
        <f>SUM(P477:Q477)</f>
        <v>250</v>
      </c>
      <c r="S477" s="42">
        <v>3277</v>
      </c>
    </row>
    <row r="478" spans="2:19" ht="15.75" x14ac:dyDescent="0.25">
      <c r="B478" s="34">
        <f>+B477+1</f>
        <v>3</v>
      </c>
      <c r="C478" s="34" t="s">
        <v>752</v>
      </c>
      <c r="D478" s="35" t="s">
        <v>753</v>
      </c>
      <c r="E478" s="36">
        <v>42735</v>
      </c>
      <c r="F478" s="37">
        <v>615.803</v>
      </c>
      <c r="G478" s="38">
        <v>10</v>
      </c>
      <c r="H478" s="39">
        <f>+F478/G478</f>
        <v>61.580300000000001</v>
      </c>
      <c r="I478" s="37">
        <v>13590.036</v>
      </c>
      <c r="J478" s="37">
        <v>18027.010999999999</v>
      </c>
      <c r="K478" s="37">
        <v>14213.338</v>
      </c>
      <c r="L478" s="37">
        <v>362.70299999999997</v>
      </c>
      <c r="M478" s="37">
        <v>769.88800000000003</v>
      </c>
      <c r="N478" s="39">
        <f>+M478-O478</f>
        <v>194.73099999999999</v>
      </c>
      <c r="O478" s="37">
        <v>575.15700000000004</v>
      </c>
      <c r="P478" s="40">
        <v>0</v>
      </c>
      <c r="Q478" s="40">
        <v>0</v>
      </c>
      <c r="R478" s="41">
        <f>SUM(P478:Q478)</f>
        <v>0</v>
      </c>
      <c r="S478" s="42">
        <v>1564</v>
      </c>
    </row>
    <row r="479" spans="2:19" ht="15.75" x14ac:dyDescent="0.25">
      <c r="B479" s="70"/>
      <c r="C479" s="70"/>
      <c r="D479" s="77"/>
      <c r="E479" s="64"/>
      <c r="F479" s="78"/>
      <c r="G479" s="43"/>
      <c r="H479" s="79"/>
      <c r="I479" s="78"/>
      <c r="J479" s="78"/>
      <c r="K479" s="78"/>
      <c r="L479" s="78"/>
      <c r="M479" s="78"/>
      <c r="N479" s="79"/>
      <c r="O479" s="78"/>
      <c r="P479" s="80"/>
      <c r="Q479" s="80"/>
      <c r="R479" s="81"/>
      <c r="S479" s="82"/>
    </row>
    <row r="480" spans="2:19" ht="15.75" x14ac:dyDescent="0.25">
      <c r="B480" s="34">
        <f>COUNT(B476:B479)</f>
        <v>3</v>
      </c>
      <c r="C480" s="34"/>
      <c r="D480" s="48"/>
      <c r="E480" s="48"/>
      <c r="F480" s="48">
        <f>SUM(F476:F479)</f>
        <v>3182.7594100000001</v>
      </c>
      <c r="G480" s="49"/>
      <c r="H480" s="50">
        <f t="shared" ref="H480:O480" si="77">SUM(H476:H479)</f>
        <v>318.27594100000005</v>
      </c>
      <c r="I480" s="48">
        <f t="shared" si="77"/>
        <v>27190.988215999998</v>
      </c>
      <c r="J480" s="48">
        <f t="shared" si="77"/>
        <v>44563.05356</v>
      </c>
      <c r="K480" s="48">
        <f t="shared" si="77"/>
        <v>59838.105979</v>
      </c>
      <c r="L480" s="48">
        <f t="shared" si="77"/>
        <v>412.96286499999997</v>
      </c>
      <c r="M480" s="48">
        <f t="shared" si="77"/>
        <v>16233.257506</v>
      </c>
      <c r="N480" s="51">
        <f t="shared" si="77"/>
        <v>5227.1384299999982</v>
      </c>
      <c r="O480" s="48">
        <f t="shared" si="77"/>
        <v>11006.119076000001</v>
      </c>
      <c r="P480" s="52"/>
      <c r="Q480" s="52"/>
      <c r="R480" s="53"/>
      <c r="S480" s="54">
        <f>SUM(S476:S479)</f>
        <v>5617</v>
      </c>
    </row>
    <row r="481" spans="2:19" ht="15.75" x14ac:dyDescent="0.25">
      <c r="B481" s="70"/>
      <c r="C481" s="70"/>
      <c r="D481" s="77"/>
      <c r="E481" s="64"/>
      <c r="F481" s="78"/>
      <c r="G481" s="43"/>
      <c r="H481" s="79"/>
      <c r="I481" s="78"/>
      <c r="J481" s="78"/>
      <c r="K481" s="78"/>
      <c r="L481" s="78"/>
      <c r="M481" s="78"/>
      <c r="N481" s="79"/>
      <c r="O481" s="78"/>
      <c r="P481" s="80"/>
      <c r="Q481" s="80"/>
      <c r="R481" s="81"/>
      <c r="S481" s="82"/>
    </row>
    <row r="482" spans="2:19" ht="15.75" x14ac:dyDescent="0.25">
      <c r="B482" s="70"/>
      <c r="C482" s="70"/>
      <c r="D482" s="77"/>
      <c r="E482" s="64"/>
      <c r="F482" s="78"/>
      <c r="G482" s="43"/>
      <c r="H482" s="79"/>
      <c r="I482" s="78"/>
      <c r="J482" s="78"/>
      <c r="K482" s="78"/>
      <c r="L482" s="78"/>
      <c r="M482" s="78"/>
      <c r="N482" s="79"/>
      <c r="O482" s="78"/>
      <c r="P482" s="80"/>
      <c r="Q482" s="80"/>
      <c r="R482" s="81"/>
      <c r="S482" s="82"/>
    </row>
    <row r="483" spans="2:19" ht="18.75" x14ac:dyDescent="0.3">
      <c r="B483" s="29"/>
      <c r="C483" s="33">
        <v>17</v>
      </c>
      <c r="D483" s="33" t="s">
        <v>754</v>
      </c>
      <c r="E483" s="61"/>
      <c r="F483" s="61"/>
      <c r="G483" s="43"/>
      <c r="H483" s="44"/>
      <c r="I483" s="31"/>
      <c r="J483" s="31"/>
      <c r="K483" s="31"/>
      <c r="L483" s="31"/>
      <c r="M483" s="31"/>
      <c r="N483" s="45"/>
      <c r="O483" s="31"/>
      <c r="P483" s="31"/>
      <c r="Q483" s="31"/>
      <c r="R483" s="45"/>
      <c r="S483" s="31"/>
    </row>
    <row r="484" spans="2:19" ht="15.75" x14ac:dyDescent="0.25">
      <c r="B484" s="70"/>
      <c r="C484" s="70"/>
      <c r="D484" s="77"/>
      <c r="E484" s="64"/>
      <c r="F484" s="78"/>
      <c r="G484" s="43"/>
      <c r="H484" s="79"/>
      <c r="I484" s="78"/>
      <c r="J484" s="78"/>
      <c r="K484" s="78"/>
      <c r="L484" s="78"/>
      <c r="M484" s="78"/>
      <c r="N484" s="79"/>
      <c r="O484" s="78"/>
      <c r="P484" s="80"/>
      <c r="Q484" s="80"/>
      <c r="R484" s="81"/>
      <c r="S484" s="82"/>
    </row>
    <row r="485" spans="2:19" ht="15.75" x14ac:dyDescent="0.25">
      <c r="B485" s="55">
        <v>1</v>
      </c>
      <c r="C485" s="55" t="s">
        <v>755</v>
      </c>
      <c r="D485" s="35" t="s">
        <v>756</v>
      </c>
      <c r="E485" s="36">
        <v>42551</v>
      </c>
      <c r="F485" s="37">
        <v>852.93</v>
      </c>
      <c r="G485" s="38">
        <v>10</v>
      </c>
      <c r="H485" s="39">
        <f>+F485/G485</f>
        <v>85.292999999999992</v>
      </c>
      <c r="I485" s="37">
        <v>22377.614000000001</v>
      </c>
      <c r="J485" s="37">
        <v>75619.19</v>
      </c>
      <c r="K485" s="37">
        <v>66564.923999999999</v>
      </c>
      <c r="L485" s="37">
        <v>156.881</v>
      </c>
      <c r="M485" s="37">
        <v>635.27800000000002</v>
      </c>
      <c r="N485" s="39">
        <f>+M485-O485</f>
        <v>-181.072</v>
      </c>
      <c r="O485" s="37">
        <v>816.35</v>
      </c>
      <c r="P485" s="40">
        <f>50</f>
        <v>50</v>
      </c>
      <c r="Q485" s="40">
        <v>0</v>
      </c>
      <c r="R485" s="41">
        <f>SUM(P485:Q485)</f>
        <v>50</v>
      </c>
      <c r="S485" s="42">
        <v>3160</v>
      </c>
    </row>
    <row r="486" spans="2:19" ht="15.75" x14ac:dyDescent="0.25">
      <c r="B486" s="55">
        <f>+B485+1</f>
        <v>2</v>
      </c>
      <c r="C486" s="55" t="s">
        <v>757</v>
      </c>
      <c r="D486" s="35" t="s">
        <v>758</v>
      </c>
      <c r="E486" s="36">
        <v>42551</v>
      </c>
      <c r="F486" s="37">
        <v>9778.5869999999995</v>
      </c>
      <c r="G486" s="38">
        <v>10</v>
      </c>
      <c r="H486" s="39">
        <f>+F486/G486</f>
        <v>977.8587</v>
      </c>
      <c r="I486" s="37">
        <v>1834.4380000000001</v>
      </c>
      <c r="J486" s="37">
        <v>55893.749000000003</v>
      </c>
      <c r="K486" s="37">
        <v>79433.873999999996</v>
      </c>
      <c r="L486" s="37">
        <v>2535.4450000000002</v>
      </c>
      <c r="M486" s="37">
        <v>717.62199999999996</v>
      </c>
      <c r="N486" s="39">
        <f>+M486-O486</f>
        <v>-649.87600000000009</v>
      </c>
      <c r="O486" s="37">
        <v>1367.498</v>
      </c>
      <c r="P486" s="40">
        <v>0</v>
      </c>
      <c r="Q486" s="40">
        <v>0</v>
      </c>
      <c r="R486" s="41">
        <f>SUM(P486:Q486)</f>
        <v>0</v>
      </c>
      <c r="S486" s="42">
        <v>15937</v>
      </c>
    </row>
    <row r="487" spans="2:19" ht="15.75" x14ac:dyDescent="0.25">
      <c r="B487" s="55">
        <f>+B486+1</f>
        <v>3</v>
      </c>
      <c r="C487" s="55" t="s">
        <v>759</v>
      </c>
      <c r="D487" s="35" t="s">
        <v>760</v>
      </c>
      <c r="E487" s="36">
        <v>42551</v>
      </c>
      <c r="F487" s="37">
        <v>799.66600000000005</v>
      </c>
      <c r="G487" s="38">
        <v>10</v>
      </c>
      <c r="H487" s="39">
        <f>+F487/G487</f>
        <v>79.9666</v>
      </c>
      <c r="I487" s="37">
        <v>36822.442999999999</v>
      </c>
      <c r="J487" s="37">
        <v>53660.531000000003</v>
      </c>
      <c r="K487" s="37">
        <v>93788.377999999997</v>
      </c>
      <c r="L487" s="37">
        <v>275.52699999999999</v>
      </c>
      <c r="M487" s="37">
        <v>10089.026</v>
      </c>
      <c r="N487" s="39">
        <f>+M487-O487</f>
        <v>2400.9499999999998</v>
      </c>
      <c r="O487" s="37">
        <v>7688.076</v>
      </c>
      <c r="P487" s="40">
        <f>200</f>
        <v>200</v>
      </c>
      <c r="Q487" s="40">
        <v>0</v>
      </c>
      <c r="R487" s="41">
        <f>SUM(P487:Q487)</f>
        <v>200</v>
      </c>
      <c r="S487" s="42">
        <v>4750</v>
      </c>
    </row>
    <row r="488" spans="2:19" ht="15.75" x14ac:dyDescent="0.25">
      <c r="B488" s="55">
        <f>+B487+1</f>
        <v>4</v>
      </c>
      <c r="C488" s="55" t="s">
        <v>761</v>
      </c>
      <c r="D488" s="35" t="s">
        <v>762</v>
      </c>
      <c r="E488" s="36">
        <v>42551</v>
      </c>
      <c r="F488" s="37">
        <v>3150</v>
      </c>
      <c r="G488" s="38">
        <v>10</v>
      </c>
      <c r="H488" s="39">
        <f>+F488/G488</f>
        <v>315</v>
      </c>
      <c r="I488" s="37">
        <v>-1330.4390000000001</v>
      </c>
      <c r="J488" s="37">
        <v>24777.181</v>
      </c>
      <c r="K488" s="37">
        <v>64732.947999999997</v>
      </c>
      <c r="L488" s="37">
        <v>908.78</v>
      </c>
      <c r="M488" s="37">
        <v>486.62299999999999</v>
      </c>
      <c r="N488" s="39">
        <f>+M488-O488</f>
        <v>203.23199999999997</v>
      </c>
      <c r="O488" s="37">
        <v>283.39100000000002</v>
      </c>
      <c r="P488" s="40">
        <f>3.1</f>
        <v>3.1</v>
      </c>
      <c r="Q488" s="40">
        <v>0</v>
      </c>
      <c r="R488" s="41">
        <f>SUM(P488:Q488)</f>
        <v>3.1</v>
      </c>
      <c r="S488" s="42">
        <v>8923</v>
      </c>
    </row>
    <row r="489" spans="2:19" ht="15.75" x14ac:dyDescent="0.25">
      <c r="B489" s="70"/>
      <c r="C489" s="70"/>
      <c r="D489" s="77"/>
      <c r="E489" s="64"/>
      <c r="F489" s="78"/>
      <c r="G489" s="43"/>
      <c r="H489" s="79"/>
      <c r="I489" s="78"/>
      <c r="J489" s="78"/>
      <c r="K489" s="78"/>
      <c r="L489" s="78"/>
      <c r="M489" s="78"/>
      <c r="N489" s="79"/>
      <c r="O489" s="78"/>
      <c r="P489" s="80"/>
      <c r="Q489" s="80"/>
      <c r="R489" s="81"/>
      <c r="S489" s="82"/>
    </row>
    <row r="490" spans="2:19" ht="15.75" x14ac:dyDescent="0.25">
      <c r="B490" s="34">
        <f>COUNT(B485:B489)</f>
        <v>4</v>
      </c>
      <c r="C490" s="34"/>
      <c r="D490" s="48"/>
      <c r="E490" s="48"/>
      <c r="F490" s="48">
        <f>SUM(F485:F489)</f>
        <v>14581.182999999999</v>
      </c>
      <c r="G490" s="49"/>
      <c r="H490" s="50">
        <f t="shared" ref="H490:O490" si="78">SUM(H485:H489)</f>
        <v>1458.1182999999999</v>
      </c>
      <c r="I490" s="48">
        <f t="shared" si="78"/>
        <v>59704.056000000004</v>
      </c>
      <c r="J490" s="48">
        <f t="shared" si="78"/>
        <v>209950.65100000004</v>
      </c>
      <c r="K490" s="48">
        <f t="shared" si="78"/>
        <v>304520.12400000001</v>
      </c>
      <c r="L490" s="48">
        <f t="shared" si="78"/>
        <v>3876.6329999999998</v>
      </c>
      <c r="M490" s="48">
        <f t="shared" si="78"/>
        <v>11928.548999999999</v>
      </c>
      <c r="N490" s="51">
        <f t="shared" si="78"/>
        <v>1773.2339999999997</v>
      </c>
      <c r="O490" s="48">
        <f t="shared" si="78"/>
        <v>10155.314999999999</v>
      </c>
      <c r="P490" s="52"/>
      <c r="Q490" s="52"/>
      <c r="R490" s="53"/>
      <c r="S490" s="54">
        <f>SUM(S485:S489)</f>
        <v>32770</v>
      </c>
    </row>
    <row r="491" spans="2:19" ht="15.75" x14ac:dyDescent="0.25">
      <c r="B491" s="70"/>
      <c r="C491" s="70"/>
      <c r="D491" s="77"/>
      <c r="E491" s="64"/>
      <c r="F491" s="78"/>
      <c r="G491" s="43"/>
      <c r="H491" s="79"/>
      <c r="I491" s="78"/>
      <c r="J491" s="78"/>
      <c r="K491" s="78"/>
      <c r="L491" s="78"/>
      <c r="M491" s="78"/>
      <c r="N491" s="79"/>
      <c r="O491" s="78"/>
      <c r="P491" s="80"/>
      <c r="Q491" s="80"/>
      <c r="R491" s="81"/>
      <c r="S491" s="82"/>
    </row>
    <row r="492" spans="2:19" ht="15.75" x14ac:dyDescent="0.25">
      <c r="B492" s="70"/>
      <c r="C492" s="70"/>
      <c r="D492" s="77"/>
      <c r="E492" s="64"/>
      <c r="F492" s="78"/>
      <c r="G492" s="43"/>
      <c r="H492" s="79"/>
      <c r="I492" s="78"/>
      <c r="J492" s="78"/>
      <c r="K492" s="78"/>
      <c r="L492" s="78"/>
      <c r="M492" s="78"/>
      <c r="N492" s="79"/>
      <c r="O492" s="78"/>
      <c r="P492" s="80"/>
      <c r="Q492" s="80"/>
      <c r="R492" s="81"/>
      <c r="S492" s="82"/>
    </row>
    <row r="493" spans="2:19" ht="18.75" x14ac:dyDescent="0.3">
      <c r="B493" s="29"/>
      <c r="C493" s="33">
        <v>18</v>
      </c>
      <c r="D493" s="33" t="s">
        <v>763</v>
      </c>
      <c r="E493" s="61"/>
      <c r="F493" s="61"/>
      <c r="G493" s="43"/>
      <c r="H493" s="44"/>
      <c r="I493" s="31"/>
      <c r="J493" s="31"/>
      <c r="K493" s="31"/>
      <c r="L493" s="31"/>
      <c r="M493" s="31"/>
      <c r="N493" s="45"/>
      <c r="O493" s="31"/>
      <c r="P493" s="31"/>
      <c r="Q493" s="31"/>
      <c r="R493" s="45"/>
      <c r="S493" s="31"/>
    </row>
    <row r="494" spans="2:19" ht="15.75" x14ac:dyDescent="0.25">
      <c r="B494" s="70"/>
      <c r="C494" s="70"/>
      <c r="D494" s="77"/>
      <c r="E494" s="64"/>
      <c r="F494" s="78"/>
      <c r="G494" s="43"/>
      <c r="H494" s="79"/>
      <c r="I494" s="78"/>
      <c r="J494" s="78"/>
      <c r="K494" s="78"/>
      <c r="L494" s="78"/>
      <c r="M494" s="78"/>
      <c r="N494" s="79"/>
      <c r="O494" s="78"/>
      <c r="P494" s="80"/>
      <c r="Q494" s="80"/>
      <c r="R494" s="81"/>
      <c r="S494" s="82"/>
    </row>
    <row r="495" spans="2:19" ht="15.75" x14ac:dyDescent="0.25">
      <c r="B495" s="34">
        <v>1</v>
      </c>
      <c r="C495" s="34" t="s">
        <v>764</v>
      </c>
      <c r="D495" s="35" t="s">
        <v>765</v>
      </c>
      <c r="E495" s="36">
        <v>42551</v>
      </c>
      <c r="F495" s="37">
        <v>3633.8</v>
      </c>
      <c r="G495" s="38">
        <v>10</v>
      </c>
      <c r="H495" s="39">
        <f t="shared" ref="H495:H510" si="79">+F495/G495</f>
        <v>363.38</v>
      </c>
      <c r="I495" s="37">
        <v>4575.7740000000003</v>
      </c>
      <c r="J495" s="37">
        <v>5850.9</v>
      </c>
      <c r="K495" s="37">
        <v>1605.9359999999999</v>
      </c>
      <c r="L495" s="37">
        <v>46.918999999999997</v>
      </c>
      <c r="M495" s="37">
        <v>1095.27</v>
      </c>
      <c r="N495" s="39">
        <f t="shared" ref="N495:N510" si="80">+M495-O495</f>
        <v>-2.0419999999999163</v>
      </c>
      <c r="O495" s="37">
        <v>1097.3119999999999</v>
      </c>
      <c r="P495" s="40">
        <f>23.3</f>
        <v>23.3</v>
      </c>
      <c r="Q495" s="40">
        <v>0</v>
      </c>
      <c r="R495" s="41">
        <f t="shared" ref="R495:R510" si="81">SUM(P495:Q495)</f>
        <v>23.3</v>
      </c>
      <c r="S495" s="42">
        <v>360</v>
      </c>
    </row>
    <row r="496" spans="2:19" ht="15.75" x14ac:dyDescent="0.25">
      <c r="B496" s="34">
        <f>+B495+1</f>
        <v>2</v>
      </c>
      <c r="C496" s="34" t="s">
        <v>766</v>
      </c>
      <c r="D496" s="35" t="s">
        <v>767</v>
      </c>
      <c r="E496" s="36">
        <v>42735</v>
      </c>
      <c r="F496" s="37">
        <v>3238</v>
      </c>
      <c r="G496" s="38">
        <v>10</v>
      </c>
      <c r="H496" s="39">
        <f t="shared" si="79"/>
        <v>323.8</v>
      </c>
      <c r="I496" s="37">
        <v>8454.652</v>
      </c>
      <c r="J496" s="37">
        <v>20092.057000000001</v>
      </c>
      <c r="K496" s="37">
        <v>11451.781999999999</v>
      </c>
      <c r="L496" s="37">
        <v>361.08800000000002</v>
      </c>
      <c r="M496" s="37">
        <v>1788.345</v>
      </c>
      <c r="N496" s="39">
        <f t="shared" si="80"/>
        <v>0.65699999999992542</v>
      </c>
      <c r="O496" s="37">
        <v>1787.6880000000001</v>
      </c>
      <c r="P496" s="40">
        <f>15+15</f>
        <v>30</v>
      </c>
      <c r="Q496" s="40">
        <v>0</v>
      </c>
      <c r="R496" s="41">
        <f t="shared" si="81"/>
        <v>30</v>
      </c>
      <c r="S496" s="42">
        <v>21696</v>
      </c>
    </row>
    <row r="497" spans="2:19" ht="15.75" x14ac:dyDescent="0.25">
      <c r="B497" s="34">
        <f t="shared" ref="B497:B510" si="82">+B496+1</f>
        <v>3</v>
      </c>
      <c r="C497" s="34" t="s">
        <v>768</v>
      </c>
      <c r="D497" s="35" t="s">
        <v>769</v>
      </c>
      <c r="E497" s="36">
        <v>42551</v>
      </c>
      <c r="F497" s="37">
        <v>11571.544</v>
      </c>
      <c r="G497" s="38">
        <v>10</v>
      </c>
      <c r="H497" s="39">
        <f t="shared" si="79"/>
        <v>1157.1543999999999</v>
      </c>
      <c r="I497" s="37">
        <v>27578.661</v>
      </c>
      <c r="J497" s="37">
        <v>134005.611</v>
      </c>
      <c r="K497" s="37">
        <v>86415.209000000003</v>
      </c>
      <c r="L497" s="37">
        <v>3109.2049999999999</v>
      </c>
      <c r="M497" s="37">
        <v>11724.491</v>
      </c>
      <c r="N497" s="39">
        <f t="shared" si="80"/>
        <v>148.68599999999969</v>
      </c>
      <c r="O497" s="37">
        <v>11575.805</v>
      </c>
      <c r="P497" s="40">
        <f>45+35+30</f>
        <v>110</v>
      </c>
      <c r="Q497" s="40">
        <v>0</v>
      </c>
      <c r="R497" s="41">
        <f t="shared" si="81"/>
        <v>110</v>
      </c>
      <c r="S497" s="42">
        <v>12885</v>
      </c>
    </row>
    <row r="498" spans="2:19" ht="15.75" x14ac:dyDescent="0.25">
      <c r="B498" s="34">
        <f t="shared" si="82"/>
        <v>4</v>
      </c>
      <c r="C498" s="34" t="s">
        <v>770</v>
      </c>
      <c r="D498" s="35" t="s">
        <v>771</v>
      </c>
      <c r="E498" s="36">
        <v>42551</v>
      </c>
      <c r="F498" s="37">
        <v>80</v>
      </c>
      <c r="G498" s="38">
        <v>10</v>
      </c>
      <c r="H498" s="39">
        <f t="shared" si="79"/>
        <v>8</v>
      </c>
      <c r="I498" s="37">
        <v>101.720648</v>
      </c>
      <c r="J498" s="37">
        <v>199.775204</v>
      </c>
      <c r="K498" s="37">
        <v>235.99095199999999</v>
      </c>
      <c r="L498" s="37">
        <v>6.6350000000000003E-3</v>
      </c>
      <c r="M498" s="37">
        <v>11.304548</v>
      </c>
      <c r="N498" s="39">
        <f t="shared" si="80"/>
        <v>0</v>
      </c>
      <c r="O498" s="37">
        <v>11.304548</v>
      </c>
      <c r="P498" s="40">
        <v>0</v>
      </c>
      <c r="Q498" s="40">
        <v>0</v>
      </c>
      <c r="R498" s="41">
        <f t="shared" si="81"/>
        <v>0</v>
      </c>
      <c r="S498" s="42">
        <v>267</v>
      </c>
    </row>
    <row r="499" spans="2:19" ht="15.75" x14ac:dyDescent="0.25">
      <c r="B499" s="34">
        <f t="shared" si="82"/>
        <v>5</v>
      </c>
      <c r="C499" s="34" t="s">
        <v>772</v>
      </c>
      <c r="D499" s="35" t="s">
        <v>773</v>
      </c>
      <c r="E499" s="36">
        <v>42551</v>
      </c>
      <c r="F499" s="37">
        <v>1560.376</v>
      </c>
      <c r="G499" s="38">
        <v>10</v>
      </c>
      <c r="H499" s="39">
        <f t="shared" si="79"/>
        <v>156.0376</v>
      </c>
      <c r="I499" s="37">
        <v>-6383.9309999999996</v>
      </c>
      <c r="J499" s="37">
        <v>11250.974</v>
      </c>
      <c r="K499" s="37">
        <v>719.56700000000001</v>
      </c>
      <c r="L499" s="37">
        <v>677.85599999999999</v>
      </c>
      <c r="M499" s="37">
        <v>-460.80599999999998</v>
      </c>
      <c r="N499" s="39">
        <f t="shared" si="80"/>
        <v>0</v>
      </c>
      <c r="O499" s="37">
        <v>-460.80599999999998</v>
      </c>
      <c r="P499" s="40">
        <v>0</v>
      </c>
      <c r="Q499" s="40">
        <v>0</v>
      </c>
      <c r="R499" s="41">
        <f t="shared" si="81"/>
        <v>0</v>
      </c>
      <c r="S499" s="42">
        <v>4356</v>
      </c>
    </row>
    <row r="500" spans="2:19" ht="15.75" x14ac:dyDescent="0.25">
      <c r="B500" s="34">
        <f t="shared" si="82"/>
        <v>6</v>
      </c>
      <c r="C500" s="34" t="s">
        <v>774</v>
      </c>
      <c r="D500" s="35" t="s">
        <v>775</v>
      </c>
      <c r="E500" s="36">
        <v>42551</v>
      </c>
      <c r="F500" s="37">
        <v>8802.5319999999992</v>
      </c>
      <c r="G500" s="38">
        <v>10</v>
      </c>
      <c r="H500" s="39">
        <f t="shared" si="79"/>
        <v>880.25319999999988</v>
      </c>
      <c r="I500" s="37">
        <v>30955.088</v>
      </c>
      <c r="J500" s="37">
        <v>92209.743000000002</v>
      </c>
      <c r="K500" s="37">
        <v>64178.389000000003</v>
      </c>
      <c r="L500" s="37">
        <v>3236.7330000000002</v>
      </c>
      <c r="M500" s="37">
        <v>13683.28</v>
      </c>
      <c r="N500" s="39">
        <f t="shared" si="80"/>
        <v>4612.2290000000012</v>
      </c>
      <c r="O500" s="37">
        <v>9071.0509999999995</v>
      </c>
      <c r="P500" s="40">
        <f>42.5+47.5</f>
        <v>90</v>
      </c>
      <c r="Q500" s="40">
        <v>0</v>
      </c>
      <c r="R500" s="41">
        <f t="shared" si="81"/>
        <v>90</v>
      </c>
      <c r="S500" s="42">
        <v>55279</v>
      </c>
    </row>
    <row r="501" spans="2:19" ht="15.75" x14ac:dyDescent="0.25">
      <c r="B501" s="34">
        <f t="shared" si="82"/>
        <v>7</v>
      </c>
      <c r="C501" s="34" t="s">
        <v>776</v>
      </c>
      <c r="D501" s="35" t="s">
        <v>777</v>
      </c>
      <c r="E501" s="36">
        <v>42551</v>
      </c>
      <c r="F501" s="37">
        <v>96653.179000000004</v>
      </c>
      <c r="G501" s="38">
        <v>3.5</v>
      </c>
      <c r="H501" s="39">
        <f t="shared" si="79"/>
        <v>27615.194</v>
      </c>
      <c r="I501" s="37">
        <v>110927.90700000001</v>
      </c>
      <c r="J501" s="37">
        <v>341943.05900000001</v>
      </c>
      <c r="K501" s="37">
        <v>189628.60399999999</v>
      </c>
      <c r="L501" s="37">
        <v>5099.5200000000004</v>
      </c>
      <c r="M501" s="37">
        <v>25901.721000000001</v>
      </c>
      <c r="N501" s="39">
        <f t="shared" si="80"/>
        <v>-6855.9079999999994</v>
      </c>
      <c r="O501" s="37">
        <v>32757.629000000001</v>
      </c>
      <c r="P501" s="40">
        <v>0</v>
      </c>
      <c r="Q501" s="40">
        <v>0</v>
      </c>
      <c r="R501" s="41">
        <f t="shared" si="81"/>
        <v>0</v>
      </c>
      <c r="S501" s="42">
        <v>22689</v>
      </c>
    </row>
    <row r="502" spans="2:19" ht="15.75" x14ac:dyDescent="0.25">
      <c r="B502" s="34">
        <f t="shared" si="82"/>
        <v>8</v>
      </c>
      <c r="C502" s="34" t="s">
        <v>778</v>
      </c>
      <c r="D502" s="35" t="s">
        <v>779</v>
      </c>
      <c r="E502" s="36">
        <v>42551</v>
      </c>
      <c r="F502" s="37">
        <v>1694.586</v>
      </c>
      <c r="G502" s="38">
        <v>10</v>
      </c>
      <c r="H502" s="39">
        <f t="shared" si="79"/>
        <v>169.45859999999999</v>
      </c>
      <c r="I502" s="37">
        <v>6091.6809999999996</v>
      </c>
      <c r="J502" s="37">
        <v>8789.1720000000005</v>
      </c>
      <c r="K502" s="37">
        <v>7283.9359999999997</v>
      </c>
      <c r="L502" s="37">
        <v>140.46899999999999</v>
      </c>
      <c r="M502" s="37">
        <v>695.66099999999994</v>
      </c>
      <c r="N502" s="39">
        <f t="shared" si="80"/>
        <v>0.44499999999993634</v>
      </c>
      <c r="O502" s="37">
        <v>695.21600000000001</v>
      </c>
      <c r="P502" s="40">
        <f>20+15+17.5</f>
        <v>52.5</v>
      </c>
      <c r="Q502" s="40">
        <v>0</v>
      </c>
      <c r="R502" s="41">
        <f t="shared" si="81"/>
        <v>52.5</v>
      </c>
      <c r="S502" s="42">
        <v>1447</v>
      </c>
    </row>
    <row r="503" spans="2:19" ht="15.75" x14ac:dyDescent="0.25">
      <c r="B503" s="34">
        <f t="shared" si="82"/>
        <v>9</v>
      </c>
      <c r="C503" s="34" t="s">
        <v>780</v>
      </c>
      <c r="D503" s="35" t="s">
        <v>781</v>
      </c>
      <c r="E503" s="36">
        <v>42551</v>
      </c>
      <c r="F503" s="37">
        <v>126</v>
      </c>
      <c r="G503" s="38">
        <v>10</v>
      </c>
      <c r="H503" s="39">
        <f t="shared" si="79"/>
        <v>12.6</v>
      </c>
      <c r="I503" s="37">
        <v>185.71771799999999</v>
      </c>
      <c r="J503" s="37">
        <v>191.20823100000001</v>
      </c>
      <c r="K503" s="37">
        <v>4.6050000000000004</v>
      </c>
      <c r="L503" s="37">
        <v>6.744E-3</v>
      </c>
      <c r="M503" s="37">
        <v>-8.8752960000000005</v>
      </c>
      <c r="N503" s="39">
        <f t="shared" si="80"/>
        <v>1.2281849999999999</v>
      </c>
      <c r="O503" s="37">
        <v>-10.103481</v>
      </c>
      <c r="P503" s="40">
        <v>0</v>
      </c>
      <c r="Q503" s="40">
        <v>0</v>
      </c>
      <c r="R503" s="41">
        <f t="shared" si="81"/>
        <v>0</v>
      </c>
      <c r="S503" s="42">
        <v>1267</v>
      </c>
    </row>
    <row r="504" spans="2:19" ht="15.75" x14ac:dyDescent="0.25">
      <c r="B504" s="34">
        <f t="shared" si="82"/>
        <v>10</v>
      </c>
      <c r="C504" s="34" t="s">
        <v>782</v>
      </c>
      <c r="D504" s="35" t="s">
        <v>783</v>
      </c>
      <c r="E504" s="36">
        <v>42735</v>
      </c>
      <c r="F504" s="37">
        <v>3798.3870000000002</v>
      </c>
      <c r="G504" s="38">
        <v>10</v>
      </c>
      <c r="H504" s="39">
        <f t="shared" si="79"/>
        <v>379.83870000000002</v>
      </c>
      <c r="I504" s="37">
        <v>12618.63</v>
      </c>
      <c r="J504" s="37">
        <v>23817.802</v>
      </c>
      <c r="K504" s="37">
        <v>15366.040999999999</v>
      </c>
      <c r="L504" s="37">
        <v>718.11400000000003</v>
      </c>
      <c r="M504" s="37">
        <v>994.697</v>
      </c>
      <c r="N504" s="39">
        <f t="shared" si="80"/>
        <v>0</v>
      </c>
      <c r="O504" s="37">
        <v>994.697</v>
      </c>
      <c r="P504" s="40">
        <f>10+10</f>
        <v>20</v>
      </c>
      <c r="Q504" s="40">
        <v>0</v>
      </c>
      <c r="R504" s="41">
        <f t="shared" si="81"/>
        <v>20</v>
      </c>
      <c r="S504" s="42">
        <v>2722</v>
      </c>
    </row>
    <row r="505" spans="2:19" ht="15.75" x14ac:dyDescent="0.25">
      <c r="B505" s="34">
        <f t="shared" si="82"/>
        <v>11</v>
      </c>
      <c r="C505" s="34" t="s">
        <v>784</v>
      </c>
      <c r="D505" s="35" t="s">
        <v>785</v>
      </c>
      <c r="E505" s="36">
        <v>42551</v>
      </c>
      <c r="F505" s="37">
        <v>3673.4690000000001</v>
      </c>
      <c r="G505" s="38">
        <v>10</v>
      </c>
      <c r="H505" s="39">
        <f t="shared" si="79"/>
        <v>367.34690000000001</v>
      </c>
      <c r="I505" s="37">
        <v>7292.5759859999998</v>
      </c>
      <c r="J505" s="37">
        <v>21680.893619999999</v>
      </c>
      <c r="K505" s="37">
        <v>13853.806315</v>
      </c>
      <c r="L505" s="37">
        <v>1219.1163550000001</v>
      </c>
      <c r="M505" s="37">
        <v>2756.2422649999999</v>
      </c>
      <c r="N505" s="39">
        <f t="shared" si="80"/>
        <v>0</v>
      </c>
      <c r="O505" s="37">
        <v>2756.2422649999999</v>
      </c>
      <c r="P505" s="40">
        <f>20+20+17.5+15</f>
        <v>72.5</v>
      </c>
      <c r="Q505" s="40">
        <v>0</v>
      </c>
      <c r="R505" s="41">
        <f t="shared" si="81"/>
        <v>72.5</v>
      </c>
      <c r="S505" s="42">
        <v>2710</v>
      </c>
    </row>
    <row r="506" spans="2:19" ht="15.75" x14ac:dyDescent="0.25">
      <c r="B506" s="34">
        <f t="shared" si="82"/>
        <v>12</v>
      </c>
      <c r="C506" s="34" t="s">
        <v>786</v>
      </c>
      <c r="D506" s="35" t="s">
        <v>787</v>
      </c>
      <c r="E506" s="36">
        <v>42551</v>
      </c>
      <c r="F506" s="37">
        <v>3540.8850000000002</v>
      </c>
      <c r="G506" s="38">
        <v>10</v>
      </c>
      <c r="H506" s="39">
        <f t="shared" si="79"/>
        <v>354.08850000000001</v>
      </c>
      <c r="I506" s="37">
        <v>12251.079</v>
      </c>
      <c r="J506" s="37">
        <v>21074.631000000001</v>
      </c>
      <c r="K506" s="37">
        <v>13896.036</v>
      </c>
      <c r="L506" s="37">
        <v>866.56100000000004</v>
      </c>
      <c r="M506" s="37">
        <v>2851.0650000000001</v>
      </c>
      <c r="N506" s="39">
        <f t="shared" si="80"/>
        <v>0</v>
      </c>
      <c r="O506" s="37">
        <v>2851.0650000000001</v>
      </c>
      <c r="P506" s="40">
        <f>10+20+15+15</f>
        <v>60</v>
      </c>
      <c r="Q506" s="40">
        <v>0</v>
      </c>
      <c r="R506" s="41">
        <f t="shared" si="81"/>
        <v>60</v>
      </c>
      <c r="S506" s="42">
        <v>3043</v>
      </c>
    </row>
    <row r="507" spans="2:19" ht="15.75" x14ac:dyDescent="0.25">
      <c r="B507" s="34">
        <f t="shared" si="82"/>
        <v>13</v>
      </c>
      <c r="C507" s="34" t="s">
        <v>788</v>
      </c>
      <c r="D507" s="35" t="s">
        <v>789</v>
      </c>
      <c r="E507" s="36">
        <v>42735</v>
      </c>
      <c r="F507" s="37">
        <v>3720.8159999999998</v>
      </c>
      <c r="G507" s="38">
        <v>10</v>
      </c>
      <c r="H507" s="39">
        <f t="shared" si="79"/>
        <v>372.08159999999998</v>
      </c>
      <c r="I507" s="37">
        <v>15034.377</v>
      </c>
      <c r="J507" s="37">
        <v>25118.760999999999</v>
      </c>
      <c r="K507" s="37">
        <v>16044.135</v>
      </c>
      <c r="L507" s="37">
        <v>603.67600000000004</v>
      </c>
      <c r="M507" s="37">
        <v>516.89</v>
      </c>
      <c r="N507" s="39">
        <f t="shared" si="80"/>
        <v>0</v>
      </c>
      <c r="O507" s="37">
        <v>516.89</v>
      </c>
      <c r="P507" s="40">
        <f>10+10</f>
        <v>20</v>
      </c>
      <c r="Q507" s="40">
        <v>0</v>
      </c>
      <c r="R507" s="41">
        <f t="shared" si="81"/>
        <v>20</v>
      </c>
      <c r="S507" s="42">
        <v>1979</v>
      </c>
    </row>
    <row r="508" spans="2:19" ht="15.75" x14ac:dyDescent="0.25">
      <c r="B508" s="34">
        <f t="shared" si="82"/>
        <v>14</v>
      </c>
      <c r="C508" s="34" t="s">
        <v>790</v>
      </c>
      <c r="D508" s="35" t="s">
        <v>791</v>
      </c>
      <c r="E508" s="36">
        <v>42551</v>
      </c>
      <c r="F508" s="37">
        <v>190.92</v>
      </c>
      <c r="G508" s="38">
        <v>10</v>
      </c>
      <c r="H508" s="39">
        <f t="shared" si="79"/>
        <v>19.091999999999999</v>
      </c>
      <c r="I508" s="37">
        <v>2089.6555979999998</v>
      </c>
      <c r="J508" s="37">
        <v>3559.656023</v>
      </c>
      <c r="K508" s="37">
        <v>3074.2657829999998</v>
      </c>
      <c r="L508" s="37">
        <v>107.505278</v>
      </c>
      <c r="M508" s="37">
        <v>162.42057500000001</v>
      </c>
      <c r="N508" s="39">
        <f t="shared" si="80"/>
        <v>0</v>
      </c>
      <c r="O508" s="37">
        <v>162.42057500000001</v>
      </c>
      <c r="P508" s="40">
        <f>20</f>
        <v>20</v>
      </c>
      <c r="Q508" s="40">
        <v>0</v>
      </c>
      <c r="R508" s="41">
        <f t="shared" si="81"/>
        <v>20</v>
      </c>
      <c r="S508" s="42">
        <v>1267</v>
      </c>
    </row>
    <row r="509" spans="2:19" ht="15.75" x14ac:dyDescent="0.25">
      <c r="B509" s="34">
        <f t="shared" si="82"/>
        <v>15</v>
      </c>
      <c r="C509" s="34" t="s">
        <v>792</v>
      </c>
      <c r="D509" s="35" t="s">
        <v>793</v>
      </c>
      <c r="E509" s="36">
        <v>42735</v>
      </c>
      <c r="F509" s="37">
        <v>3864.7177900000002</v>
      </c>
      <c r="G509" s="38">
        <v>10</v>
      </c>
      <c r="H509" s="39">
        <f t="shared" si="79"/>
        <v>386.47177900000003</v>
      </c>
      <c r="I509" s="37">
        <v>9215.7788010000004</v>
      </c>
      <c r="J509" s="37">
        <v>19233.910006999999</v>
      </c>
      <c r="K509" s="37">
        <v>11946.156136</v>
      </c>
      <c r="L509" s="37">
        <v>760.67405799999995</v>
      </c>
      <c r="M509" s="37">
        <v>2312.3333550000002</v>
      </c>
      <c r="N509" s="39">
        <f t="shared" si="80"/>
        <v>0</v>
      </c>
      <c r="O509" s="37">
        <v>2312.3333550000002</v>
      </c>
      <c r="P509" s="40">
        <f>17.5+19</f>
        <v>36.5</v>
      </c>
      <c r="Q509" s="40">
        <v>0</v>
      </c>
      <c r="R509" s="41">
        <f t="shared" si="81"/>
        <v>36.5</v>
      </c>
      <c r="S509" s="42">
        <v>4956</v>
      </c>
    </row>
    <row r="510" spans="2:19" ht="15.75" x14ac:dyDescent="0.25">
      <c r="B510" s="34">
        <f t="shared" si="82"/>
        <v>16</v>
      </c>
      <c r="C510" s="34" t="s">
        <v>794</v>
      </c>
      <c r="D510" s="35" t="s">
        <v>795</v>
      </c>
      <c r="E510" s="36">
        <v>42551</v>
      </c>
      <c r="F510" s="37">
        <v>150</v>
      </c>
      <c r="G510" s="38">
        <v>10</v>
      </c>
      <c r="H510" s="39">
        <f t="shared" si="79"/>
        <v>15</v>
      </c>
      <c r="I510" s="37"/>
      <c r="J510" s="37"/>
      <c r="K510" s="37"/>
      <c r="L510" s="37"/>
      <c r="M510" s="37">
        <v>2.1869999999999998</v>
      </c>
      <c r="N510" s="39">
        <f t="shared" si="80"/>
        <v>0</v>
      </c>
      <c r="O510" s="37">
        <v>2.1869999999999998</v>
      </c>
      <c r="P510" s="40">
        <v>0</v>
      </c>
      <c r="Q510" s="40">
        <v>0</v>
      </c>
      <c r="R510" s="41">
        <f t="shared" si="81"/>
        <v>0</v>
      </c>
      <c r="S510" s="42"/>
    </row>
    <row r="511" spans="2:19" ht="15.75" x14ac:dyDescent="0.25">
      <c r="B511" s="70"/>
      <c r="C511" s="70"/>
      <c r="D511" s="77"/>
      <c r="E511" s="64"/>
      <c r="F511" s="78"/>
      <c r="G511" s="43"/>
      <c r="H511" s="79"/>
      <c r="I511" s="78"/>
      <c r="J511" s="78"/>
      <c r="K511" s="78"/>
      <c r="L511" s="78"/>
      <c r="M511" s="78"/>
      <c r="N511" s="79"/>
      <c r="O511" s="78"/>
      <c r="P511" s="80"/>
      <c r="Q511" s="80"/>
      <c r="R511" s="81"/>
      <c r="S511" s="82"/>
    </row>
    <row r="512" spans="2:19" ht="18.75" x14ac:dyDescent="0.3">
      <c r="B512" s="29"/>
      <c r="C512" s="29"/>
      <c r="D512" s="57" t="s">
        <v>45</v>
      </c>
      <c r="E512" s="29"/>
      <c r="F512" s="29"/>
      <c r="G512" s="43"/>
      <c r="H512" s="44"/>
      <c r="I512" s="31"/>
      <c r="J512" s="31"/>
      <c r="K512" s="31"/>
      <c r="L512" s="31"/>
      <c r="M512" s="31"/>
      <c r="N512" s="45"/>
      <c r="O512" s="31"/>
      <c r="P512" s="31"/>
      <c r="Q512" s="31"/>
      <c r="R512" s="45"/>
      <c r="S512" s="31"/>
    </row>
    <row r="513" spans="2:19" ht="15.75" x14ac:dyDescent="0.25">
      <c r="B513" s="34">
        <v>1</v>
      </c>
      <c r="C513" s="34" t="s">
        <v>796</v>
      </c>
      <c r="D513" s="35" t="s">
        <v>797</v>
      </c>
      <c r="E513" s="36">
        <v>42551</v>
      </c>
      <c r="F513" s="37">
        <v>198</v>
      </c>
      <c r="G513" s="38">
        <v>10</v>
      </c>
      <c r="H513" s="39">
        <f>+F513/G513</f>
        <v>19.8</v>
      </c>
      <c r="I513" s="37"/>
      <c r="J513" s="37"/>
      <c r="K513" s="37"/>
      <c r="L513" s="37"/>
      <c r="M513" s="37">
        <v>-14.916</v>
      </c>
      <c r="N513" s="39">
        <f>+M513-O513</f>
        <v>0</v>
      </c>
      <c r="O513" s="37">
        <v>-14.916</v>
      </c>
      <c r="P513" s="40">
        <v>0</v>
      </c>
      <c r="Q513" s="40">
        <v>0</v>
      </c>
      <c r="R513" s="41">
        <f>SUM(P513:Q513)</f>
        <v>0</v>
      </c>
      <c r="S513" s="42"/>
    </row>
    <row r="514" spans="2:19" ht="15.75" x14ac:dyDescent="0.25">
      <c r="B514" s="34">
        <f>+B513+1</f>
        <v>2</v>
      </c>
      <c r="C514" s="34" t="s">
        <v>798</v>
      </c>
      <c r="D514" s="35" t="s">
        <v>799</v>
      </c>
      <c r="E514" s="36">
        <v>42551</v>
      </c>
      <c r="F514" s="37">
        <v>1366.758</v>
      </c>
      <c r="G514" s="38">
        <v>10</v>
      </c>
      <c r="H514" s="39">
        <f>+F514/G514</f>
        <v>136.67580000000001</v>
      </c>
      <c r="I514" s="37">
        <v>-10671.364</v>
      </c>
      <c r="J514" s="37">
        <v>12756.737999999999</v>
      </c>
      <c r="K514" s="37">
        <v>822.13900000000001</v>
      </c>
      <c r="L514" s="37">
        <v>1233.4829999999999</v>
      </c>
      <c r="M514" s="37">
        <v>-1761.9870000000001</v>
      </c>
      <c r="N514" s="39">
        <f>+M514-O514</f>
        <v>0</v>
      </c>
      <c r="O514" s="37">
        <v>-1761.9870000000001</v>
      </c>
      <c r="P514" s="40">
        <v>0</v>
      </c>
      <c r="Q514" s="40">
        <v>0</v>
      </c>
      <c r="R514" s="41">
        <f>SUM(P514:Q514)</f>
        <v>0</v>
      </c>
      <c r="S514" s="42">
        <v>4803</v>
      </c>
    </row>
    <row r="515" spans="2:19" ht="15.75" x14ac:dyDescent="0.25">
      <c r="B515" s="34">
        <f>+B514+1</f>
        <v>3</v>
      </c>
      <c r="C515" s="34" t="s">
        <v>800</v>
      </c>
      <c r="D515" s="35" t="s">
        <v>801</v>
      </c>
      <c r="E515" s="36">
        <v>42551</v>
      </c>
      <c r="F515" s="37">
        <v>178.33267000000001</v>
      </c>
      <c r="G515" s="38">
        <v>10</v>
      </c>
      <c r="H515" s="39">
        <f>+F515/G515</f>
        <v>17.833266999999999</v>
      </c>
      <c r="I515" s="37">
        <v>36.377276999999999</v>
      </c>
      <c r="J515" s="37">
        <v>56.042014999999999</v>
      </c>
      <c r="K515" s="37">
        <v>0</v>
      </c>
      <c r="L515" s="37">
        <v>0.19152</v>
      </c>
      <c r="M515" s="37">
        <v>-5.6162580000000002</v>
      </c>
      <c r="N515" s="39">
        <f>+M515-O515</f>
        <v>0</v>
      </c>
      <c r="O515" s="37">
        <v>-5.6162580000000002</v>
      </c>
      <c r="P515" s="40">
        <v>0</v>
      </c>
      <c r="Q515" s="40">
        <v>0</v>
      </c>
      <c r="R515" s="41">
        <f>SUM(P515:Q515)</f>
        <v>0</v>
      </c>
      <c r="S515" s="42">
        <v>1560</v>
      </c>
    </row>
    <row r="516" spans="2:19" ht="15.75" x14ac:dyDescent="0.25">
      <c r="B516" s="70"/>
      <c r="C516" s="70"/>
      <c r="D516" s="77"/>
      <c r="E516" s="64"/>
      <c r="F516" s="78"/>
      <c r="G516" s="43"/>
      <c r="H516" s="79"/>
      <c r="I516" s="78"/>
      <c r="J516" s="78"/>
      <c r="K516" s="78"/>
      <c r="L516" s="78"/>
      <c r="M516" s="78"/>
      <c r="N516" s="79"/>
      <c r="O516" s="78"/>
      <c r="P516" s="80"/>
      <c r="Q516" s="80"/>
      <c r="R516" s="81"/>
      <c r="S516" s="82"/>
    </row>
    <row r="517" spans="2:19" ht="15.75" x14ac:dyDescent="0.25">
      <c r="B517" s="34">
        <f>COUNT(B495:B516)</f>
        <v>19</v>
      </c>
      <c r="C517" s="34"/>
      <c r="D517" s="48"/>
      <c r="E517" s="48"/>
      <c r="F517" s="48">
        <f>SUM(F495:F516)</f>
        <v>148042.30246000004</v>
      </c>
      <c r="G517" s="49"/>
      <c r="H517" s="50">
        <f t="shared" ref="H517:O517" si="83">SUM(H495:H516)</f>
        <v>32754.106346000004</v>
      </c>
      <c r="I517" s="48">
        <f t="shared" si="83"/>
        <v>230354.38002800007</v>
      </c>
      <c r="J517" s="48">
        <f t="shared" si="83"/>
        <v>741830.93310000002</v>
      </c>
      <c r="K517" s="48">
        <f t="shared" si="83"/>
        <v>436526.59818600002</v>
      </c>
      <c r="L517" s="48">
        <f t="shared" si="83"/>
        <v>18181.124589999999</v>
      </c>
      <c r="M517" s="48">
        <f t="shared" si="83"/>
        <v>62243.707189000008</v>
      </c>
      <c r="N517" s="51">
        <f t="shared" si="83"/>
        <v>-2094.7048149999991</v>
      </c>
      <c r="O517" s="48">
        <f t="shared" si="83"/>
        <v>64338.412004000013</v>
      </c>
      <c r="P517" s="52"/>
      <c r="Q517" s="52"/>
      <c r="R517" s="53"/>
      <c r="S517" s="54">
        <f>SUM(S495:S516)</f>
        <v>143286</v>
      </c>
    </row>
    <row r="518" spans="2:19" ht="15.75" x14ac:dyDescent="0.25">
      <c r="B518" s="70"/>
      <c r="C518" s="70"/>
      <c r="D518" s="77"/>
      <c r="E518" s="64"/>
      <c r="F518" s="78"/>
      <c r="G518" s="43"/>
      <c r="H518" s="79"/>
      <c r="I518" s="78"/>
      <c r="J518" s="78"/>
      <c r="K518" s="78"/>
      <c r="L518" s="78"/>
      <c r="M518" s="78"/>
      <c r="N518" s="79"/>
      <c r="O518" s="78"/>
      <c r="P518" s="80"/>
      <c r="Q518" s="80"/>
      <c r="R518" s="81"/>
      <c r="S518" s="82"/>
    </row>
    <row r="519" spans="2:19" ht="15.75" x14ac:dyDescent="0.25">
      <c r="B519" s="70"/>
      <c r="C519" s="70"/>
      <c r="D519" s="77"/>
      <c r="E519" s="64"/>
      <c r="F519" s="78"/>
      <c r="G519" s="43"/>
      <c r="H519" s="79"/>
      <c r="I519" s="78"/>
      <c r="J519" s="78"/>
      <c r="K519" s="78"/>
      <c r="L519" s="78"/>
      <c r="M519" s="78"/>
      <c r="N519" s="79"/>
      <c r="O519" s="78"/>
      <c r="P519" s="80"/>
      <c r="Q519" s="80"/>
      <c r="R519" s="81"/>
      <c r="S519" s="82"/>
    </row>
    <row r="520" spans="2:19" ht="18.75" x14ac:dyDescent="0.3">
      <c r="B520" s="29"/>
      <c r="C520" s="33">
        <v>19</v>
      </c>
      <c r="D520" s="33" t="s">
        <v>802</v>
      </c>
      <c r="E520" s="61"/>
      <c r="F520" s="61"/>
      <c r="G520" s="43"/>
      <c r="H520" s="44"/>
      <c r="I520" s="31"/>
      <c r="J520" s="31"/>
      <c r="K520" s="31"/>
      <c r="L520" s="31"/>
      <c r="M520" s="31"/>
      <c r="N520" s="45"/>
      <c r="O520" s="31"/>
      <c r="P520" s="31"/>
      <c r="Q520" s="31"/>
      <c r="R520" s="45"/>
      <c r="S520" s="31"/>
    </row>
    <row r="521" spans="2:19" ht="15.75" x14ac:dyDescent="0.25">
      <c r="B521" s="70"/>
      <c r="C521" s="70"/>
      <c r="D521" s="77"/>
      <c r="E521" s="64"/>
      <c r="F521" s="78"/>
      <c r="G521" s="43"/>
      <c r="H521" s="79"/>
      <c r="I521" s="78"/>
      <c r="J521" s="78"/>
      <c r="K521" s="78"/>
      <c r="L521" s="78"/>
      <c r="M521" s="78"/>
      <c r="N521" s="79"/>
      <c r="O521" s="78"/>
      <c r="P521" s="80"/>
      <c r="Q521" s="80"/>
      <c r="R521" s="81"/>
      <c r="S521" s="82"/>
    </row>
    <row r="522" spans="2:19" ht="15.75" x14ac:dyDescent="0.25">
      <c r="B522" s="55">
        <v>1</v>
      </c>
      <c r="C522" s="55" t="s">
        <v>803</v>
      </c>
      <c r="D522" s="35" t="s">
        <v>804</v>
      </c>
      <c r="E522" s="36">
        <v>42551</v>
      </c>
      <c r="F522" s="37">
        <v>829.44</v>
      </c>
      <c r="G522" s="38">
        <v>10</v>
      </c>
      <c r="H522" s="39">
        <f t="shared" ref="H522:H529" si="84">+F522/G522</f>
        <v>82.944000000000003</v>
      </c>
      <c r="I522" s="37">
        <v>14317.165999999999</v>
      </c>
      <c r="J522" s="37">
        <v>30525.305</v>
      </c>
      <c r="K522" s="37">
        <v>109234.361</v>
      </c>
      <c r="L522" s="37">
        <v>200.37200000000001</v>
      </c>
      <c r="M522" s="37">
        <v>5633.45</v>
      </c>
      <c r="N522" s="39">
        <f t="shared" ref="N522:N529" si="85">+M522-O522</f>
        <v>1804.8649999999998</v>
      </c>
      <c r="O522" s="37">
        <v>3828.585</v>
      </c>
      <c r="P522" s="40">
        <f>150+250</f>
        <v>400</v>
      </c>
      <c r="Q522" s="40">
        <v>0</v>
      </c>
      <c r="R522" s="41">
        <f t="shared" ref="R522:R529" si="86">SUM(P522:Q522)</f>
        <v>400</v>
      </c>
      <c r="S522" s="42">
        <v>3031</v>
      </c>
    </row>
    <row r="523" spans="2:19" ht="15.75" x14ac:dyDescent="0.25">
      <c r="B523" s="55">
        <f t="shared" ref="B523:B529" si="87">+B522+1</f>
        <v>2</v>
      </c>
      <c r="C523" s="55" t="s">
        <v>805</v>
      </c>
      <c r="D523" s="35" t="s">
        <v>806</v>
      </c>
      <c r="E523" s="36">
        <v>42551</v>
      </c>
      <c r="F523" s="37">
        <v>224.88800000000001</v>
      </c>
      <c r="G523" s="38">
        <v>10</v>
      </c>
      <c r="H523" s="39">
        <f t="shared" si="84"/>
        <v>22.488800000000001</v>
      </c>
      <c r="I523" s="37">
        <v>510.423</v>
      </c>
      <c r="J523" s="37">
        <v>1610.335</v>
      </c>
      <c r="K523" s="37">
        <v>2012.77</v>
      </c>
      <c r="L523" s="37">
        <v>31.58</v>
      </c>
      <c r="M523" s="37">
        <v>-13.968</v>
      </c>
      <c r="N523" s="39">
        <f t="shared" si="85"/>
        <v>-6.4169999999999998</v>
      </c>
      <c r="O523" s="37">
        <v>-7.5510000000000002</v>
      </c>
      <c r="P523" s="40">
        <f>10+10</f>
        <v>20</v>
      </c>
      <c r="Q523" s="40">
        <v>0</v>
      </c>
      <c r="R523" s="41">
        <f t="shared" si="86"/>
        <v>20</v>
      </c>
      <c r="S523" s="42">
        <v>1351</v>
      </c>
    </row>
    <row r="524" spans="2:19" ht="15.75" x14ac:dyDescent="0.25">
      <c r="B524" s="55">
        <f t="shared" si="87"/>
        <v>3</v>
      </c>
      <c r="C524" s="55" t="s">
        <v>807</v>
      </c>
      <c r="D524" s="35" t="s">
        <v>808</v>
      </c>
      <c r="E524" s="36">
        <v>42735</v>
      </c>
      <c r="F524" s="37">
        <v>1206.7919999999999</v>
      </c>
      <c r="G524" s="38">
        <v>10</v>
      </c>
      <c r="H524" s="39">
        <f t="shared" si="84"/>
        <v>120.67919999999999</v>
      </c>
      <c r="I524" s="37">
        <v>4962.1379999999999</v>
      </c>
      <c r="J524" s="37">
        <v>44649.985999999997</v>
      </c>
      <c r="K524" s="37">
        <v>99707.474000000002</v>
      </c>
      <c r="L524" s="37">
        <v>432.61799999999999</v>
      </c>
      <c r="M524" s="37">
        <v>2153.9749999999999</v>
      </c>
      <c r="N524" s="39">
        <f t="shared" si="85"/>
        <v>938.34899999999993</v>
      </c>
      <c r="O524" s="37">
        <v>1215.626</v>
      </c>
      <c r="P524" s="40">
        <f>35+35</f>
        <v>70</v>
      </c>
      <c r="Q524" s="40">
        <v>0</v>
      </c>
      <c r="R524" s="41">
        <f t="shared" si="86"/>
        <v>70</v>
      </c>
      <c r="S524" s="42">
        <v>7310</v>
      </c>
    </row>
    <row r="525" spans="2:19" ht="15.75" x14ac:dyDescent="0.25">
      <c r="B525" s="55">
        <f t="shared" si="87"/>
        <v>4</v>
      </c>
      <c r="C525" s="55" t="s">
        <v>809</v>
      </c>
      <c r="D525" s="35" t="s">
        <v>810</v>
      </c>
      <c r="E525" s="36">
        <v>42551</v>
      </c>
      <c r="F525" s="37">
        <v>1160.04</v>
      </c>
      <c r="G525" s="38">
        <v>10</v>
      </c>
      <c r="H525" s="39">
        <f>+F525/G525</f>
        <v>116.00399999999999</v>
      </c>
      <c r="I525" s="37">
        <v>3330.6489750000001</v>
      </c>
      <c r="J525" s="37">
        <v>3988.995727</v>
      </c>
      <c r="K525" s="37">
        <v>7015.3020800000004</v>
      </c>
      <c r="L525" s="37">
        <v>16.239595999999999</v>
      </c>
      <c r="M525" s="37">
        <v>879.01748699999996</v>
      </c>
      <c r="N525" s="39">
        <f>+M525-O525</f>
        <v>349.35209099999997</v>
      </c>
      <c r="O525" s="37">
        <v>529.66539599999999</v>
      </c>
      <c r="P525" s="40">
        <f>13.5</f>
        <v>13.5</v>
      </c>
      <c r="Q525" s="40">
        <v>0</v>
      </c>
      <c r="R525" s="41">
        <f>SUM(P525:Q525)</f>
        <v>13.5</v>
      </c>
      <c r="S525" s="42">
        <v>5240</v>
      </c>
    </row>
    <row r="526" spans="2:19" ht="15.75" x14ac:dyDescent="0.25">
      <c r="B526" s="55">
        <f t="shared" si="87"/>
        <v>5</v>
      </c>
      <c r="C526" s="55" t="s">
        <v>811</v>
      </c>
      <c r="D526" s="35" t="s">
        <v>812</v>
      </c>
      <c r="E526" s="36">
        <v>42551</v>
      </c>
      <c r="F526" s="37">
        <v>2716.86</v>
      </c>
      <c r="G526" s="38">
        <v>10</v>
      </c>
      <c r="H526" s="39">
        <f t="shared" si="84"/>
        <v>271.68600000000004</v>
      </c>
      <c r="I526" s="37">
        <v>91581.324999999997</v>
      </c>
      <c r="J526" s="37">
        <v>342318.73</v>
      </c>
      <c r="K526" s="37">
        <v>677966.87699999998</v>
      </c>
      <c r="L526" s="37">
        <v>7149.5919999999996</v>
      </c>
      <c r="M526" s="37">
        <v>16289.208000000001</v>
      </c>
      <c r="N526" s="39">
        <f t="shared" si="85"/>
        <v>6016.0780000000013</v>
      </c>
      <c r="O526" s="37">
        <v>10273.129999999999</v>
      </c>
      <c r="P526" s="40">
        <f>50+75</f>
        <v>125</v>
      </c>
      <c r="Q526" s="40">
        <v>0</v>
      </c>
      <c r="R526" s="41">
        <f t="shared" si="86"/>
        <v>125</v>
      </c>
      <c r="S526" s="42">
        <v>13310</v>
      </c>
    </row>
    <row r="527" spans="2:19" ht="15.75" x14ac:dyDescent="0.25">
      <c r="B527" s="55">
        <f t="shared" si="87"/>
        <v>6</v>
      </c>
      <c r="C527" s="55" t="s">
        <v>813</v>
      </c>
      <c r="D527" s="35" t="s">
        <v>814</v>
      </c>
      <c r="E527" s="36">
        <v>42735</v>
      </c>
      <c r="F527" s="37">
        <v>1070.125</v>
      </c>
      <c r="G527" s="38">
        <v>10</v>
      </c>
      <c r="H527" s="39">
        <f t="shared" si="84"/>
        <v>107.0125</v>
      </c>
      <c r="I527" s="37">
        <v>11109.781999999999</v>
      </c>
      <c r="J527" s="37">
        <v>42510.430999999997</v>
      </c>
      <c r="K527" s="37">
        <v>167641.60200000001</v>
      </c>
      <c r="L527" s="37">
        <v>203.89599999999999</v>
      </c>
      <c r="M527" s="37">
        <v>5705.8220000000001</v>
      </c>
      <c r="N527" s="39">
        <f t="shared" si="85"/>
        <v>-1059.085</v>
      </c>
      <c r="O527" s="37">
        <v>6764.9070000000002</v>
      </c>
      <c r="P527" s="40">
        <f>60+280</f>
        <v>340</v>
      </c>
      <c r="Q527" s="40">
        <v>0</v>
      </c>
      <c r="R527" s="41">
        <f t="shared" si="86"/>
        <v>340</v>
      </c>
      <c r="S527" s="42">
        <v>6346</v>
      </c>
    </row>
    <row r="528" spans="2:19" ht="15.75" x14ac:dyDescent="0.25">
      <c r="B528" s="55">
        <f t="shared" si="87"/>
        <v>7</v>
      </c>
      <c r="C528" s="34" t="s">
        <v>815</v>
      </c>
      <c r="D528" s="35" t="s">
        <v>816</v>
      </c>
      <c r="E528" s="36">
        <v>42551</v>
      </c>
      <c r="F528" s="37">
        <v>6342.1670000000004</v>
      </c>
      <c r="G528" s="38">
        <v>10</v>
      </c>
      <c r="H528" s="39">
        <f t="shared" si="84"/>
        <v>634.21670000000006</v>
      </c>
      <c r="I528" s="37">
        <v>3697.3310000000001</v>
      </c>
      <c r="J528" s="37">
        <v>251713.51500000001</v>
      </c>
      <c r="K528" s="37">
        <v>250646.58799999999</v>
      </c>
      <c r="L528" s="37">
        <v>4402.741</v>
      </c>
      <c r="M528" s="37">
        <v>-139.608</v>
      </c>
      <c r="N528" s="39">
        <f t="shared" si="85"/>
        <v>-263.62099999999998</v>
      </c>
      <c r="O528" s="37">
        <v>124.01300000000001</v>
      </c>
      <c r="P528" s="40">
        <v>0</v>
      </c>
      <c r="Q528" s="40">
        <v>0</v>
      </c>
      <c r="R528" s="41">
        <f t="shared" si="86"/>
        <v>0</v>
      </c>
      <c r="S528" s="42">
        <v>15883</v>
      </c>
    </row>
    <row r="529" spans="2:19" ht="15.75" x14ac:dyDescent="0.25">
      <c r="B529" s="55">
        <f t="shared" si="87"/>
        <v>8</v>
      </c>
      <c r="C529" s="55" t="s">
        <v>817</v>
      </c>
      <c r="D529" s="35" t="s">
        <v>818</v>
      </c>
      <c r="E529" s="36">
        <v>42551</v>
      </c>
      <c r="F529" s="37">
        <v>8809.1630000000005</v>
      </c>
      <c r="G529" s="38">
        <v>10</v>
      </c>
      <c r="H529" s="39">
        <f t="shared" si="84"/>
        <v>880.91630000000009</v>
      </c>
      <c r="I529" s="37">
        <v>2216.0749999999998</v>
      </c>
      <c r="J529" s="37">
        <v>279076.25199999998</v>
      </c>
      <c r="K529" s="37">
        <v>138616.10200000001</v>
      </c>
      <c r="L529" s="37">
        <v>2618.39</v>
      </c>
      <c r="M529" s="37">
        <v>-7839.5640000000003</v>
      </c>
      <c r="N529" s="39">
        <f t="shared" si="85"/>
        <v>-1724.6109999999999</v>
      </c>
      <c r="O529" s="37">
        <v>-6114.9530000000004</v>
      </c>
      <c r="P529" s="40">
        <v>0</v>
      </c>
      <c r="Q529" s="40">
        <v>0</v>
      </c>
      <c r="R529" s="41">
        <f t="shared" si="86"/>
        <v>0</v>
      </c>
      <c r="S529" s="42">
        <v>21861</v>
      </c>
    </row>
    <row r="530" spans="2:19" ht="15.75" x14ac:dyDescent="0.25">
      <c r="B530" s="29"/>
      <c r="C530" s="29"/>
      <c r="D530" s="29"/>
      <c r="E530" s="29"/>
      <c r="F530" s="29"/>
      <c r="G530" s="43"/>
      <c r="H530" s="44"/>
      <c r="I530" s="31"/>
      <c r="J530" s="31"/>
      <c r="K530" s="31"/>
      <c r="L530" s="31"/>
      <c r="M530" s="31"/>
      <c r="N530" s="45"/>
      <c r="O530" s="31"/>
      <c r="P530" s="31"/>
      <c r="Q530" s="31"/>
      <c r="R530" s="45"/>
      <c r="S530" s="31"/>
    </row>
    <row r="531" spans="2:19" ht="15.75" x14ac:dyDescent="0.25">
      <c r="B531" s="34">
        <f>COUNT(B522:B530)</f>
        <v>8</v>
      </c>
      <c r="C531" s="34"/>
      <c r="D531" s="48"/>
      <c r="E531" s="48"/>
      <c r="F531" s="48">
        <f>SUM(F522:F530)</f>
        <v>22359.475000000002</v>
      </c>
      <c r="G531" s="49"/>
      <c r="H531" s="50">
        <f t="shared" ref="H531:O531" si="88">SUM(H522:H530)</f>
        <v>2235.9475000000002</v>
      </c>
      <c r="I531" s="48">
        <f t="shared" si="88"/>
        <v>131724.88897500001</v>
      </c>
      <c r="J531" s="48">
        <f t="shared" si="88"/>
        <v>996393.54972699995</v>
      </c>
      <c r="K531" s="48">
        <f t="shared" si="88"/>
        <v>1452841.07608</v>
      </c>
      <c r="L531" s="48">
        <f t="shared" si="88"/>
        <v>15055.428595999998</v>
      </c>
      <c r="M531" s="48">
        <f t="shared" si="88"/>
        <v>22668.332487</v>
      </c>
      <c r="N531" s="51">
        <f t="shared" si="88"/>
        <v>6054.9100910000006</v>
      </c>
      <c r="O531" s="48">
        <f t="shared" si="88"/>
        <v>16613.422395999998</v>
      </c>
      <c r="P531" s="52"/>
      <c r="Q531" s="52"/>
      <c r="R531" s="53"/>
      <c r="S531" s="54">
        <f>SUM(S522:S530)</f>
        <v>74332</v>
      </c>
    </row>
    <row r="532" spans="2:19" ht="15.75" x14ac:dyDescent="0.25">
      <c r="B532" s="29"/>
      <c r="C532" s="29"/>
      <c r="D532" s="29"/>
      <c r="E532" s="29"/>
      <c r="F532" s="29"/>
      <c r="G532" s="43"/>
      <c r="H532" s="44"/>
      <c r="I532" s="31"/>
      <c r="J532" s="31"/>
      <c r="K532" s="31"/>
      <c r="L532" s="31"/>
      <c r="M532" s="31"/>
      <c r="N532" s="45"/>
      <c r="O532" s="31"/>
      <c r="P532" s="31"/>
      <c r="Q532" s="31"/>
      <c r="R532" s="45"/>
      <c r="S532" s="31"/>
    </row>
    <row r="533" spans="2:19" ht="15.75" x14ac:dyDescent="0.25">
      <c r="B533" s="29"/>
      <c r="C533" s="29"/>
      <c r="D533" s="29"/>
      <c r="E533" s="29"/>
      <c r="F533" s="29"/>
      <c r="G533" s="43"/>
      <c r="H533" s="44"/>
      <c r="I533" s="31"/>
      <c r="J533" s="31"/>
      <c r="K533" s="31"/>
      <c r="L533" s="31"/>
      <c r="M533" s="31"/>
      <c r="N533" s="45"/>
      <c r="O533" s="31"/>
      <c r="P533" s="31"/>
      <c r="Q533" s="31"/>
      <c r="R533" s="45"/>
      <c r="S533" s="31"/>
    </row>
    <row r="534" spans="2:19" ht="18.75" x14ac:dyDescent="0.3">
      <c r="B534" s="29"/>
      <c r="C534" s="33">
        <v>20</v>
      </c>
      <c r="D534" s="33" t="s">
        <v>819</v>
      </c>
      <c r="E534" s="61"/>
      <c r="F534" s="61"/>
      <c r="G534" s="43"/>
      <c r="H534" s="44"/>
      <c r="I534" s="31"/>
      <c r="J534" s="31"/>
      <c r="K534" s="31"/>
      <c r="L534" s="31"/>
      <c r="M534" s="31"/>
      <c r="N534" s="45"/>
      <c r="O534" s="31"/>
      <c r="P534" s="31"/>
      <c r="Q534" s="31"/>
      <c r="R534" s="45"/>
      <c r="S534" s="31"/>
    </row>
    <row r="535" spans="2:19" ht="15.75" x14ac:dyDescent="0.25">
      <c r="B535" s="29"/>
      <c r="C535" s="29"/>
      <c r="D535" s="29"/>
      <c r="E535" s="29"/>
      <c r="F535" s="29"/>
      <c r="G535" s="43"/>
      <c r="H535" s="44"/>
      <c r="I535" s="31"/>
      <c r="J535" s="31"/>
      <c r="K535" s="31"/>
      <c r="L535" s="31"/>
      <c r="M535" s="31"/>
      <c r="N535" s="45"/>
      <c r="O535" s="31"/>
      <c r="P535" s="31"/>
      <c r="Q535" s="31"/>
      <c r="R535" s="45"/>
      <c r="S535" s="31"/>
    </row>
    <row r="536" spans="2:19" ht="15.75" x14ac:dyDescent="0.25">
      <c r="B536" s="55">
        <v>1</v>
      </c>
      <c r="C536" s="55" t="s">
        <v>820</v>
      </c>
      <c r="D536" s="35" t="s">
        <v>821</v>
      </c>
      <c r="E536" s="36">
        <v>42551</v>
      </c>
      <c r="F536" s="37">
        <v>1102.5</v>
      </c>
      <c r="G536" s="38">
        <v>10</v>
      </c>
      <c r="H536" s="39">
        <f>+F536/G536</f>
        <v>110.25</v>
      </c>
      <c r="I536" s="37">
        <v>16965.922999999999</v>
      </c>
      <c r="J536" s="37">
        <v>59559.646999999997</v>
      </c>
      <c r="K536" s="37">
        <v>21712.763999999999</v>
      </c>
      <c r="L536" s="37">
        <v>574.05799999999999</v>
      </c>
      <c r="M536" s="37">
        <v>6561.4520000000002</v>
      </c>
      <c r="N536" s="39">
        <f>+M536-O536</f>
        <v>509.9970000000003</v>
      </c>
      <c r="O536" s="37">
        <v>6051.4549999999999</v>
      </c>
      <c r="P536" s="40">
        <f>30+21</f>
        <v>51</v>
      </c>
      <c r="Q536" s="40">
        <v>0</v>
      </c>
      <c r="R536" s="41">
        <f>SUM(P536:Q536)</f>
        <v>51</v>
      </c>
      <c r="S536" s="42">
        <v>2879</v>
      </c>
    </row>
    <row r="537" spans="2:19" ht="15.75" x14ac:dyDescent="0.25">
      <c r="B537" s="55">
        <f>+B536+1</f>
        <v>2</v>
      </c>
      <c r="C537" s="55" t="s">
        <v>822</v>
      </c>
      <c r="D537" s="35" t="s">
        <v>823</v>
      </c>
      <c r="E537" s="36">
        <v>42551</v>
      </c>
      <c r="F537" s="37">
        <v>43009.284</v>
      </c>
      <c r="G537" s="38">
        <v>10</v>
      </c>
      <c r="H537" s="39">
        <f>+F537/G537</f>
        <v>4300.9283999999998</v>
      </c>
      <c r="I537" s="37">
        <v>478632.56699999998</v>
      </c>
      <c r="J537" s="37">
        <v>589565.53899999999</v>
      </c>
      <c r="K537" s="37">
        <v>162866.57800000001</v>
      </c>
      <c r="L537" s="37">
        <v>1717.8889999999999</v>
      </c>
      <c r="M537" s="37">
        <v>80507.387000000002</v>
      </c>
      <c r="N537" s="39">
        <f>+M537-O537</f>
        <v>20536.584999999999</v>
      </c>
      <c r="O537" s="37">
        <v>59970.802000000003</v>
      </c>
      <c r="P537" s="40">
        <f>15+12+5+20</f>
        <v>52</v>
      </c>
      <c r="Q537" s="40">
        <v>0</v>
      </c>
      <c r="R537" s="41">
        <f>SUM(P537:Q537)</f>
        <v>52</v>
      </c>
      <c r="S537" s="42">
        <v>23443</v>
      </c>
    </row>
    <row r="538" spans="2:19" ht="15.75" x14ac:dyDescent="0.25">
      <c r="B538" s="55">
        <f>+B537+1</f>
        <v>3</v>
      </c>
      <c r="C538" s="55" t="s">
        <v>824</v>
      </c>
      <c r="D538" s="35" t="s">
        <v>825</v>
      </c>
      <c r="E538" s="36">
        <v>42551</v>
      </c>
      <c r="F538" s="37">
        <v>2365.4589999999998</v>
      </c>
      <c r="G538" s="38">
        <v>10</v>
      </c>
      <c r="H538" s="39">
        <f>+F538/G538</f>
        <v>236.54589999999999</v>
      </c>
      <c r="I538" s="37">
        <v>30151.736000000001</v>
      </c>
      <c r="J538" s="37">
        <v>55717.256000000001</v>
      </c>
      <c r="K538" s="37">
        <v>24848.218000000001</v>
      </c>
      <c r="L538" s="37">
        <v>1021.946</v>
      </c>
      <c r="M538" s="37">
        <v>8879.9490000000005</v>
      </c>
      <c r="N538" s="39">
        <f>+M538-O538</f>
        <v>1646.1340000000009</v>
      </c>
      <c r="O538" s="37">
        <v>7233.8149999999996</v>
      </c>
      <c r="P538" s="40">
        <f>150+200</f>
        <v>350</v>
      </c>
      <c r="Q538" s="40">
        <v>0</v>
      </c>
      <c r="R538" s="41">
        <f>SUM(P538:Q538)</f>
        <v>350</v>
      </c>
      <c r="S538" s="42">
        <v>6869</v>
      </c>
    </row>
    <row r="539" spans="2:19" ht="15.75" x14ac:dyDescent="0.25">
      <c r="B539" s="55">
        <f>+B538+1</f>
        <v>4</v>
      </c>
      <c r="C539" s="55" t="s">
        <v>826</v>
      </c>
      <c r="D539" s="35" t="s">
        <v>827</v>
      </c>
      <c r="E539" s="36">
        <v>42551</v>
      </c>
      <c r="F539" s="37">
        <v>19717.172999999999</v>
      </c>
      <c r="G539" s="38">
        <v>10</v>
      </c>
      <c r="H539" s="39">
        <f>+F539/G539</f>
        <v>1971.7172999999998</v>
      </c>
      <c r="I539" s="37">
        <v>192648.93700000001</v>
      </c>
      <c r="J539" s="37">
        <v>272462.321</v>
      </c>
      <c r="K539" s="37">
        <v>80151.210999999996</v>
      </c>
      <c r="L539" s="37">
        <v>658.96699999999998</v>
      </c>
      <c r="M539" s="37">
        <v>26706.716</v>
      </c>
      <c r="N539" s="39">
        <f>+M539-O539</f>
        <v>9464.6970000000001</v>
      </c>
      <c r="O539" s="37">
        <v>17242.019</v>
      </c>
      <c r="P539" s="40">
        <f>22.5+35</f>
        <v>57.5</v>
      </c>
      <c r="Q539" s="40">
        <v>0</v>
      </c>
      <c r="R539" s="41">
        <f>SUM(P539:Q539)</f>
        <v>57.5</v>
      </c>
      <c r="S539" s="42">
        <v>23801</v>
      </c>
    </row>
    <row r="540" spans="2:19" ht="15.75" x14ac:dyDescent="0.25">
      <c r="B540" s="29"/>
      <c r="C540" s="29"/>
      <c r="D540" s="29"/>
      <c r="E540" s="29"/>
      <c r="F540" s="29"/>
      <c r="G540" s="43"/>
      <c r="H540" s="44"/>
      <c r="I540" s="31"/>
      <c r="J540" s="31"/>
      <c r="K540" s="31"/>
      <c r="L540" s="31"/>
      <c r="M540" s="31"/>
      <c r="N540" s="45"/>
      <c r="O540" s="31"/>
      <c r="P540" s="31"/>
      <c r="Q540" s="31"/>
      <c r="R540" s="45"/>
      <c r="S540" s="31"/>
    </row>
    <row r="541" spans="2:19" ht="15.75" x14ac:dyDescent="0.25">
      <c r="B541" s="34">
        <f>COUNT(B536:B540)</f>
        <v>4</v>
      </c>
      <c r="C541" s="34"/>
      <c r="D541" s="48"/>
      <c r="E541" s="48"/>
      <c r="F541" s="48">
        <f>SUM(F536:F540)</f>
        <v>66194.415999999997</v>
      </c>
      <c r="G541" s="49"/>
      <c r="H541" s="50">
        <f t="shared" ref="H541:O541" si="89">SUM(H536:H540)</f>
        <v>6619.4416000000001</v>
      </c>
      <c r="I541" s="48">
        <f t="shared" si="89"/>
        <v>718399.16300000006</v>
      </c>
      <c r="J541" s="48">
        <f t="shared" si="89"/>
        <v>977304.76300000004</v>
      </c>
      <c r="K541" s="48">
        <f t="shared" si="89"/>
        <v>289578.77100000001</v>
      </c>
      <c r="L541" s="48">
        <f t="shared" si="89"/>
        <v>3972.86</v>
      </c>
      <c r="M541" s="48">
        <f t="shared" si="89"/>
        <v>122655.504</v>
      </c>
      <c r="N541" s="51">
        <f t="shared" si="89"/>
        <v>32157.413</v>
      </c>
      <c r="O541" s="48">
        <f t="shared" si="89"/>
        <v>90498.091</v>
      </c>
      <c r="P541" s="52"/>
      <c r="Q541" s="52"/>
      <c r="R541" s="53"/>
      <c r="S541" s="54">
        <f>SUM(S536:S540)</f>
        <v>56992</v>
      </c>
    </row>
    <row r="542" spans="2:19" ht="15.75" x14ac:dyDescent="0.25">
      <c r="B542" s="29"/>
      <c r="C542" s="29"/>
      <c r="D542" s="29"/>
      <c r="E542" s="29"/>
      <c r="F542" s="29"/>
      <c r="G542" s="43"/>
      <c r="H542" s="44"/>
      <c r="I542" s="31"/>
      <c r="J542" s="31"/>
      <c r="K542" s="31"/>
      <c r="L542" s="31"/>
      <c r="M542" s="31"/>
      <c r="N542" s="45"/>
      <c r="O542" s="31"/>
      <c r="P542" s="31"/>
      <c r="Q542" s="31"/>
      <c r="R542" s="45"/>
      <c r="S542" s="31"/>
    </row>
    <row r="543" spans="2:19" ht="15.75" x14ac:dyDescent="0.25">
      <c r="B543" s="29"/>
      <c r="C543" s="29"/>
      <c r="D543" s="29"/>
      <c r="E543" s="29"/>
      <c r="F543" s="29"/>
      <c r="G543" s="43"/>
      <c r="H543" s="44"/>
      <c r="I543" s="31"/>
      <c r="J543" s="31"/>
      <c r="K543" s="31"/>
      <c r="L543" s="31"/>
      <c r="M543" s="31"/>
      <c r="N543" s="45"/>
      <c r="O543" s="31"/>
      <c r="P543" s="31"/>
      <c r="Q543" s="31"/>
      <c r="R543" s="45"/>
      <c r="S543" s="31"/>
    </row>
    <row r="544" spans="2:19" ht="18.75" x14ac:dyDescent="0.3">
      <c r="B544" s="29"/>
      <c r="C544" s="33">
        <v>21</v>
      </c>
      <c r="D544" s="33" t="s">
        <v>828</v>
      </c>
      <c r="E544" s="61"/>
      <c r="F544" s="61"/>
      <c r="G544" s="43"/>
      <c r="H544" s="44"/>
      <c r="I544" s="31"/>
      <c r="J544" s="31"/>
      <c r="K544" s="31"/>
      <c r="L544" s="31"/>
      <c r="M544" s="31"/>
      <c r="N544" s="45"/>
      <c r="O544" s="31"/>
      <c r="P544" s="31"/>
      <c r="Q544" s="31"/>
      <c r="R544" s="45"/>
      <c r="S544" s="31"/>
    </row>
    <row r="545" spans="2:19" ht="15.75" x14ac:dyDescent="0.25">
      <c r="B545" s="29"/>
      <c r="C545" s="29"/>
      <c r="D545" s="29"/>
      <c r="E545" s="29"/>
      <c r="F545" s="29"/>
      <c r="G545" s="43"/>
      <c r="H545" s="44"/>
      <c r="I545" s="31"/>
      <c r="J545" s="31"/>
      <c r="K545" s="31"/>
      <c r="L545" s="31"/>
      <c r="M545" s="31"/>
      <c r="N545" s="45"/>
      <c r="O545" s="31"/>
      <c r="P545" s="31"/>
      <c r="Q545" s="31"/>
      <c r="R545" s="45"/>
      <c r="S545" s="31"/>
    </row>
    <row r="546" spans="2:19" ht="15.75" x14ac:dyDescent="0.25">
      <c r="B546" s="34">
        <v>1</v>
      </c>
      <c r="C546" s="34" t="s">
        <v>829</v>
      </c>
      <c r="D546" s="35" t="s">
        <v>830</v>
      </c>
      <c r="E546" s="36">
        <v>42551</v>
      </c>
      <c r="F546" s="37">
        <v>65.825999999999993</v>
      </c>
      <c r="G546" s="38">
        <v>10</v>
      </c>
      <c r="H546" s="39">
        <f t="shared" ref="H546:H558" si="90">+F546/G546</f>
        <v>6.5825999999999993</v>
      </c>
      <c r="I546" s="37">
        <v>240.52751599999999</v>
      </c>
      <c r="J546" s="37">
        <v>475.92156</v>
      </c>
      <c r="K546" s="37">
        <v>613.95166500000005</v>
      </c>
      <c r="L546" s="37">
        <v>3.484235</v>
      </c>
      <c r="M546" s="37">
        <v>9.3302300000000002</v>
      </c>
      <c r="N546" s="39">
        <f t="shared" ref="N546:N558" si="91">+M546-O546</f>
        <v>3.6234160000000006</v>
      </c>
      <c r="O546" s="37">
        <v>5.7068139999999996</v>
      </c>
      <c r="P546" s="40">
        <v>0</v>
      </c>
      <c r="Q546" s="40">
        <v>0</v>
      </c>
      <c r="R546" s="41">
        <f t="shared" ref="R546:R558" si="92">SUM(P546:Q546)</f>
        <v>0</v>
      </c>
      <c r="S546" s="42">
        <v>914</v>
      </c>
    </row>
    <row r="547" spans="2:19" ht="15.75" x14ac:dyDescent="0.25">
      <c r="B547" s="34">
        <f>+B546+1</f>
        <v>2</v>
      </c>
      <c r="C547" s="34" t="s">
        <v>831</v>
      </c>
      <c r="D547" s="35" t="s">
        <v>832</v>
      </c>
      <c r="E547" s="36">
        <v>42551</v>
      </c>
      <c r="F547" s="37">
        <v>2711.3270000000002</v>
      </c>
      <c r="G547" s="38">
        <v>10</v>
      </c>
      <c r="H547" s="39">
        <f t="shared" si="90"/>
        <v>271.1327</v>
      </c>
      <c r="I547" s="37">
        <v>2273.5219999999999</v>
      </c>
      <c r="J547" s="37">
        <v>15352.275</v>
      </c>
      <c r="K547" s="37">
        <v>9634.2970000000005</v>
      </c>
      <c r="L547" s="37">
        <v>1020.58</v>
      </c>
      <c r="M547" s="37">
        <v>-191.821</v>
      </c>
      <c r="N547" s="39">
        <f t="shared" si="91"/>
        <v>-36.930000000000007</v>
      </c>
      <c r="O547" s="37">
        <v>-154.89099999999999</v>
      </c>
      <c r="P547" s="40">
        <v>0</v>
      </c>
      <c r="Q547" s="40">
        <v>0</v>
      </c>
      <c r="R547" s="41">
        <f t="shared" si="92"/>
        <v>0</v>
      </c>
      <c r="S547" s="42">
        <v>2034</v>
      </c>
    </row>
    <row r="548" spans="2:19" ht="15.75" x14ac:dyDescent="0.25">
      <c r="B548" s="34">
        <f>+B547+1</f>
        <v>3</v>
      </c>
      <c r="C548" s="34" t="s">
        <v>833</v>
      </c>
      <c r="D548" s="35" t="s">
        <v>834</v>
      </c>
      <c r="E548" s="36">
        <v>42551</v>
      </c>
      <c r="F548" s="37">
        <v>2970.11427</v>
      </c>
      <c r="G548" s="38">
        <v>10</v>
      </c>
      <c r="H548" s="39">
        <f>+F548/G548</f>
        <v>297.01142700000003</v>
      </c>
      <c r="I548" s="37">
        <v>8860.6215329999995</v>
      </c>
      <c r="J548" s="37">
        <v>16765.432674</v>
      </c>
      <c r="K548" s="37">
        <v>12400.191349000001</v>
      </c>
      <c r="L548" s="37">
        <v>335.53438899999998</v>
      </c>
      <c r="M548" s="37">
        <v>1749.195371</v>
      </c>
      <c r="N548" s="39">
        <f>+M548-O548</f>
        <v>470.44634300000007</v>
      </c>
      <c r="O548" s="37">
        <v>1278.749028</v>
      </c>
      <c r="P548" s="40">
        <f>20</f>
        <v>20</v>
      </c>
      <c r="Q548" s="40">
        <v>0</v>
      </c>
      <c r="R548" s="41">
        <f>SUM(P548:Q548)</f>
        <v>20</v>
      </c>
      <c r="S548" s="42">
        <v>17858</v>
      </c>
    </row>
    <row r="549" spans="2:19" ht="15.75" x14ac:dyDescent="0.25">
      <c r="B549" s="34">
        <f>+B548+1</f>
        <v>4</v>
      </c>
      <c r="C549" s="34" t="s">
        <v>835</v>
      </c>
      <c r="D549" s="35" t="s">
        <v>836</v>
      </c>
      <c r="E549" s="36">
        <v>42551</v>
      </c>
      <c r="F549" s="37">
        <v>114.72529</v>
      </c>
      <c r="G549" s="38">
        <v>10</v>
      </c>
      <c r="H549" s="39">
        <f t="shared" si="90"/>
        <v>11.472529</v>
      </c>
      <c r="I549" s="37">
        <v>452.66141499999998</v>
      </c>
      <c r="J549" s="37">
        <v>925.00703899999996</v>
      </c>
      <c r="K549" s="37">
        <v>1333.4757810000001</v>
      </c>
      <c r="L549" s="37">
        <v>33.137723000000001</v>
      </c>
      <c r="M549" s="37">
        <v>39.419528999999997</v>
      </c>
      <c r="N549" s="39">
        <f t="shared" si="91"/>
        <v>13.549725999999996</v>
      </c>
      <c r="O549" s="37">
        <v>25.869803000000001</v>
      </c>
      <c r="P549" s="40">
        <f>10</f>
        <v>10</v>
      </c>
      <c r="Q549" s="40">
        <v>0</v>
      </c>
      <c r="R549" s="41">
        <f t="shared" si="92"/>
        <v>10</v>
      </c>
      <c r="S549" s="42">
        <v>952</v>
      </c>
    </row>
    <row r="550" spans="2:19" ht="15.75" x14ac:dyDescent="0.25">
      <c r="B550" s="34">
        <f t="shared" ref="B550:B558" si="93">+B549+1</f>
        <v>5</v>
      </c>
      <c r="C550" s="34" t="s">
        <v>837</v>
      </c>
      <c r="D550" s="35" t="s">
        <v>838</v>
      </c>
      <c r="E550" s="36">
        <v>42551</v>
      </c>
      <c r="F550" s="37">
        <v>776.32500000000005</v>
      </c>
      <c r="G550" s="38">
        <v>10</v>
      </c>
      <c r="H550" s="39">
        <f t="shared" si="90"/>
        <v>77.632500000000007</v>
      </c>
      <c r="I550" s="37">
        <v>5807.7250000000004</v>
      </c>
      <c r="J550" s="37">
        <v>9484.2029999999995</v>
      </c>
      <c r="K550" s="37">
        <v>7412.0349999999999</v>
      </c>
      <c r="L550" s="37">
        <v>243.78</v>
      </c>
      <c r="M550" s="37">
        <v>1315.5730000000001</v>
      </c>
      <c r="N550" s="39">
        <f t="shared" si="91"/>
        <v>348.43700000000013</v>
      </c>
      <c r="O550" s="37">
        <v>967.13599999999997</v>
      </c>
      <c r="P550" s="40">
        <f>15+15+20</f>
        <v>50</v>
      </c>
      <c r="Q550" s="40">
        <v>0</v>
      </c>
      <c r="R550" s="41">
        <f t="shared" si="92"/>
        <v>50</v>
      </c>
      <c r="S550" s="42">
        <v>2920</v>
      </c>
    </row>
    <row r="551" spans="2:19" ht="15.75" x14ac:dyDescent="0.25">
      <c r="B551" s="34">
        <f t="shared" si="93"/>
        <v>6</v>
      </c>
      <c r="C551" s="34" t="s">
        <v>839</v>
      </c>
      <c r="D551" s="35" t="s">
        <v>840</v>
      </c>
      <c r="E551" s="36">
        <v>42551</v>
      </c>
      <c r="F551" s="37">
        <v>107.64</v>
      </c>
      <c r="G551" s="38">
        <v>10</v>
      </c>
      <c r="H551" s="39">
        <f t="shared" si="90"/>
        <v>10.763999999999999</v>
      </c>
      <c r="I551" s="37">
        <v>174.809</v>
      </c>
      <c r="J551" s="37">
        <v>2954.393</v>
      </c>
      <c r="K551" s="37">
        <v>2163.1190000000001</v>
      </c>
      <c r="L551" s="37">
        <v>126.376</v>
      </c>
      <c r="M551" s="37">
        <v>69.849999999999994</v>
      </c>
      <c r="N551" s="39">
        <f t="shared" si="91"/>
        <v>69.650999999999996</v>
      </c>
      <c r="O551" s="37">
        <v>0.19900000000000001</v>
      </c>
      <c r="P551" s="40">
        <v>0</v>
      </c>
      <c r="Q551" s="40">
        <v>0</v>
      </c>
      <c r="R551" s="41">
        <f t="shared" si="92"/>
        <v>0</v>
      </c>
      <c r="S551" s="42">
        <v>3734</v>
      </c>
    </row>
    <row r="552" spans="2:19" ht="15.75" x14ac:dyDescent="0.25">
      <c r="B552" s="34">
        <f t="shared" si="93"/>
        <v>7</v>
      </c>
      <c r="C552" s="55" t="s">
        <v>841</v>
      </c>
      <c r="D552" s="35" t="s">
        <v>842</v>
      </c>
      <c r="E552" s="36">
        <v>42551</v>
      </c>
      <c r="F552" s="37">
        <v>100</v>
      </c>
      <c r="G552" s="38">
        <v>10</v>
      </c>
      <c r="H552" s="39">
        <f t="shared" si="90"/>
        <v>10</v>
      </c>
      <c r="I552" s="37">
        <v>39.720160999999997</v>
      </c>
      <c r="J552" s="37">
        <v>54.155113999999998</v>
      </c>
      <c r="K552" s="37">
        <v>0</v>
      </c>
      <c r="L552" s="37">
        <v>2.1658590000000002</v>
      </c>
      <c r="M552" s="37">
        <v>-30.447647</v>
      </c>
      <c r="N552" s="39">
        <f t="shared" si="91"/>
        <v>0.11967500000000086</v>
      </c>
      <c r="O552" s="37">
        <v>-30.567322000000001</v>
      </c>
      <c r="P552" s="40">
        <v>0</v>
      </c>
      <c r="Q552" s="40">
        <v>0</v>
      </c>
      <c r="R552" s="41">
        <f t="shared" si="92"/>
        <v>0</v>
      </c>
      <c r="S552" s="42">
        <v>1181</v>
      </c>
    </row>
    <row r="553" spans="2:19" ht="15.75" x14ac:dyDescent="0.25">
      <c r="B553" s="34">
        <f t="shared" si="93"/>
        <v>8</v>
      </c>
      <c r="C553" s="34" t="s">
        <v>843</v>
      </c>
      <c r="D553" s="35" t="s">
        <v>844</v>
      </c>
      <c r="E553" s="36">
        <v>42551</v>
      </c>
      <c r="F553" s="37">
        <v>554.84400000000005</v>
      </c>
      <c r="G553" s="38">
        <v>10</v>
      </c>
      <c r="H553" s="39">
        <f t="shared" si="90"/>
        <v>55.484400000000008</v>
      </c>
      <c r="I553" s="37">
        <v>1478.374</v>
      </c>
      <c r="J553" s="37">
        <v>7349.3339999999998</v>
      </c>
      <c r="K553" s="37">
        <v>1002.394</v>
      </c>
      <c r="L553" s="37">
        <v>32.052999999999997</v>
      </c>
      <c r="M553" s="37">
        <v>4.3869999999999996</v>
      </c>
      <c r="N553" s="39">
        <f t="shared" si="91"/>
        <v>-15.632999999999999</v>
      </c>
      <c r="O553" s="37">
        <v>20.02</v>
      </c>
      <c r="P553" s="40">
        <v>0</v>
      </c>
      <c r="Q553" s="40">
        <v>0</v>
      </c>
      <c r="R553" s="41">
        <f t="shared" si="92"/>
        <v>0</v>
      </c>
      <c r="S553" s="42">
        <v>1576</v>
      </c>
    </row>
    <row r="554" spans="2:19" ht="15.75" x14ac:dyDescent="0.25">
      <c r="B554" s="34">
        <f t="shared" si="93"/>
        <v>9</v>
      </c>
      <c r="C554" s="34" t="s">
        <v>845</v>
      </c>
      <c r="D554" s="35" t="s">
        <v>846</v>
      </c>
      <c r="E554" s="36">
        <v>42551</v>
      </c>
      <c r="F554" s="37">
        <v>1198.9259999999999</v>
      </c>
      <c r="G554" s="38">
        <v>10</v>
      </c>
      <c r="H554" s="39">
        <f t="shared" si="90"/>
        <v>119.89259999999999</v>
      </c>
      <c r="I554" s="37">
        <v>5202.4949999999999</v>
      </c>
      <c r="J554" s="37">
        <v>13976.681</v>
      </c>
      <c r="K554" s="37">
        <v>14820.526</v>
      </c>
      <c r="L554" s="37">
        <v>334.483</v>
      </c>
      <c r="M554" s="37">
        <v>1104.0160000000001</v>
      </c>
      <c r="N554" s="39">
        <f t="shared" si="91"/>
        <v>318.00000000000011</v>
      </c>
      <c r="O554" s="37">
        <v>786.01599999999996</v>
      </c>
      <c r="P554" s="40">
        <f>10+35</f>
        <v>45</v>
      </c>
      <c r="Q554" s="40">
        <v>0</v>
      </c>
      <c r="R554" s="41">
        <f t="shared" si="92"/>
        <v>45</v>
      </c>
      <c r="S554" s="42">
        <v>2548</v>
      </c>
    </row>
    <row r="555" spans="2:19" ht="15.75" x14ac:dyDescent="0.25">
      <c r="B555" s="34">
        <f t="shared" si="93"/>
        <v>10</v>
      </c>
      <c r="C555" s="34" t="s">
        <v>847</v>
      </c>
      <c r="D555" s="35" t="s">
        <v>848</v>
      </c>
      <c r="E555" s="36">
        <v>42551</v>
      </c>
      <c r="F555" s="37">
        <v>4350</v>
      </c>
      <c r="G555" s="38">
        <v>10</v>
      </c>
      <c r="H555" s="39">
        <f t="shared" si="90"/>
        <v>435</v>
      </c>
      <c r="I555" s="37">
        <v>6168.3280000000004</v>
      </c>
      <c r="J555" s="37">
        <v>20984.128000000001</v>
      </c>
      <c r="K555" s="37">
        <v>20499.054</v>
      </c>
      <c r="L555" s="37">
        <v>731.52499999999998</v>
      </c>
      <c r="M555" s="37">
        <v>1654.4960000000001</v>
      </c>
      <c r="N555" s="39">
        <f t="shared" si="91"/>
        <v>475.53200000000015</v>
      </c>
      <c r="O555" s="37">
        <v>1178.9639999999999</v>
      </c>
      <c r="P555" s="40">
        <f>12.5</f>
        <v>12.5</v>
      </c>
      <c r="Q555" s="40">
        <v>0</v>
      </c>
      <c r="R555" s="41">
        <f t="shared" si="92"/>
        <v>12.5</v>
      </c>
      <c r="S555" s="42">
        <v>1983</v>
      </c>
    </row>
    <row r="556" spans="2:19" ht="15.75" x14ac:dyDescent="0.25">
      <c r="B556" s="34">
        <f t="shared" si="93"/>
        <v>11</v>
      </c>
      <c r="C556" s="34" t="s">
        <v>849</v>
      </c>
      <c r="D556" s="35" t="s">
        <v>850</v>
      </c>
      <c r="E556" s="36">
        <v>42735</v>
      </c>
      <c r="F556" s="37">
        <v>132</v>
      </c>
      <c r="G556" s="38">
        <v>10</v>
      </c>
      <c r="H556" s="39">
        <f t="shared" si="90"/>
        <v>13.2</v>
      </c>
      <c r="I556" s="37">
        <v>1593.2168630000001</v>
      </c>
      <c r="J556" s="37">
        <v>3634.650713</v>
      </c>
      <c r="K556" s="37">
        <v>4950.6023429999996</v>
      </c>
      <c r="L556" s="37">
        <v>32.617021000000001</v>
      </c>
      <c r="M556" s="37">
        <v>509.489418</v>
      </c>
      <c r="N556" s="39">
        <f t="shared" si="91"/>
        <v>131.79298</v>
      </c>
      <c r="O556" s="37">
        <v>377.696438</v>
      </c>
      <c r="P556" s="40">
        <v>85</v>
      </c>
      <c r="Q556" s="40">
        <v>0</v>
      </c>
      <c r="R556" s="41">
        <f t="shared" si="92"/>
        <v>85</v>
      </c>
      <c r="S556" s="42">
        <v>964</v>
      </c>
    </row>
    <row r="557" spans="2:19" ht="15.75" x14ac:dyDescent="0.25">
      <c r="B557" s="34">
        <f t="shared" si="93"/>
        <v>12</v>
      </c>
      <c r="C557" s="34" t="s">
        <v>851</v>
      </c>
      <c r="D557" s="35" t="s">
        <v>852</v>
      </c>
      <c r="E557" s="36">
        <v>42551</v>
      </c>
      <c r="F557" s="37">
        <v>1257.9982500000001</v>
      </c>
      <c r="G557" s="38">
        <v>10</v>
      </c>
      <c r="H557" s="39">
        <f t="shared" si="90"/>
        <v>125.79982500000001</v>
      </c>
      <c r="I557" s="37">
        <v>4235.4295789999996</v>
      </c>
      <c r="J557" s="37">
        <v>11780.293292</v>
      </c>
      <c r="K557" s="37">
        <v>18983.478792000002</v>
      </c>
      <c r="L557" s="37">
        <v>425.03288199999997</v>
      </c>
      <c r="M557" s="37">
        <v>1292.2477940000001</v>
      </c>
      <c r="N557" s="39">
        <f t="shared" si="91"/>
        <v>398.83621400000015</v>
      </c>
      <c r="O557" s="37">
        <v>893.41157999999996</v>
      </c>
      <c r="P557" s="40">
        <f>30</f>
        <v>30</v>
      </c>
      <c r="Q557" s="40">
        <v>0</v>
      </c>
      <c r="R557" s="41">
        <f t="shared" si="92"/>
        <v>30</v>
      </c>
      <c r="S557" s="42">
        <v>5974</v>
      </c>
    </row>
    <row r="558" spans="2:19" ht="15.75" x14ac:dyDescent="0.25">
      <c r="B558" s="34">
        <f t="shared" si="93"/>
        <v>13</v>
      </c>
      <c r="C558" s="34" t="s">
        <v>853</v>
      </c>
      <c r="D558" s="35" t="s">
        <v>854</v>
      </c>
      <c r="E558" s="36">
        <v>42551</v>
      </c>
      <c r="F558" s="37">
        <v>56.902000000000001</v>
      </c>
      <c r="G558" s="38">
        <v>10</v>
      </c>
      <c r="H558" s="39">
        <f t="shared" si="90"/>
        <v>5.6901999999999999</v>
      </c>
      <c r="I558" s="37">
        <v>-858.70799999999997</v>
      </c>
      <c r="J558" s="37">
        <v>16572.052</v>
      </c>
      <c r="K558" s="37">
        <v>2329.076</v>
      </c>
      <c r="L558" s="37">
        <v>15.362</v>
      </c>
      <c r="M558" s="37">
        <v>331.08100000000002</v>
      </c>
      <c r="N558" s="39">
        <f t="shared" si="91"/>
        <v>111.59500000000003</v>
      </c>
      <c r="O558" s="37">
        <v>219.48599999999999</v>
      </c>
      <c r="P558" s="40">
        <v>0</v>
      </c>
      <c r="Q558" s="40">
        <v>0</v>
      </c>
      <c r="R558" s="41">
        <f t="shared" si="92"/>
        <v>0</v>
      </c>
      <c r="S558" s="42">
        <v>2339</v>
      </c>
    </row>
    <row r="559" spans="2:19" ht="15.75" x14ac:dyDescent="0.25">
      <c r="B559" s="29"/>
      <c r="C559" s="29"/>
      <c r="D559" s="29"/>
      <c r="E559" s="29"/>
      <c r="F559" s="29"/>
      <c r="G559" s="43"/>
      <c r="H559" s="44"/>
      <c r="I559" s="31"/>
      <c r="J559" s="31"/>
      <c r="K559" s="31"/>
      <c r="L559" s="31"/>
      <c r="M559" s="31"/>
      <c r="N559" s="45"/>
      <c r="O559" s="31"/>
      <c r="P559" s="31"/>
      <c r="Q559" s="31"/>
      <c r="R559" s="45"/>
      <c r="S559" s="31"/>
    </row>
    <row r="560" spans="2:19" ht="18.75" x14ac:dyDescent="0.3">
      <c r="B560" s="29"/>
      <c r="C560" s="29"/>
      <c r="D560" s="57" t="s">
        <v>45</v>
      </c>
      <c r="E560" s="29"/>
      <c r="F560" s="29"/>
      <c r="G560" s="43"/>
      <c r="H560" s="44"/>
      <c r="I560" s="31"/>
      <c r="J560" s="31"/>
      <c r="K560" s="31"/>
      <c r="L560" s="31"/>
      <c r="M560" s="31"/>
      <c r="N560" s="45"/>
      <c r="O560" s="31"/>
      <c r="P560" s="31"/>
      <c r="Q560" s="31"/>
      <c r="R560" s="45"/>
      <c r="S560" s="31"/>
    </row>
    <row r="561" spans="2:19" ht="15.75" x14ac:dyDescent="0.25">
      <c r="B561" s="34">
        <v>1</v>
      </c>
      <c r="C561" s="34" t="s">
        <v>855</v>
      </c>
      <c r="D561" s="35" t="s">
        <v>856</v>
      </c>
      <c r="E561" s="36">
        <v>42551</v>
      </c>
      <c r="F561" s="37">
        <v>674.64499999999998</v>
      </c>
      <c r="G561" s="38">
        <v>10</v>
      </c>
      <c r="H561" s="39">
        <f>+F561/G561</f>
        <v>67.464500000000001</v>
      </c>
      <c r="I561" s="37">
        <v>173.65103199999999</v>
      </c>
      <c r="J561" s="37">
        <v>2439.3227299999999</v>
      </c>
      <c r="K561" s="37">
        <v>0</v>
      </c>
      <c r="L561" s="37">
        <v>0.109056</v>
      </c>
      <c r="M561" s="37">
        <v>-30.113391</v>
      </c>
      <c r="N561" s="39">
        <f>+M561-O561</f>
        <v>0</v>
      </c>
      <c r="O561" s="37">
        <v>-30.113391</v>
      </c>
      <c r="P561" s="40">
        <v>0</v>
      </c>
      <c r="Q561" s="40">
        <v>0</v>
      </c>
      <c r="R561" s="41">
        <f>SUM(P561:Q561)</f>
        <v>0</v>
      </c>
      <c r="S561" s="42">
        <v>10239</v>
      </c>
    </row>
    <row r="562" spans="2:19" ht="15.75" x14ac:dyDescent="0.25">
      <c r="B562" s="34">
        <f>+B561+1</f>
        <v>2</v>
      </c>
      <c r="C562" s="34" t="s">
        <v>857</v>
      </c>
      <c r="D562" s="35" t="s">
        <v>858</v>
      </c>
      <c r="E562" s="36">
        <v>42551</v>
      </c>
      <c r="F562" s="37">
        <v>309.77600000000001</v>
      </c>
      <c r="G562" s="38">
        <v>10</v>
      </c>
      <c r="H562" s="39">
        <f>+F562/G562</f>
        <v>30.977600000000002</v>
      </c>
      <c r="I562" s="37">
        <v>425.59800000000001</v>
      </c>
      <c r="J562" s="37">
        <v>862.09100000000001</v>
      </c>
      <c r="K562" s="37">
        <v>62.758000000000003</v>
      </c>
      <c r="L562" s="37">
        <v>0</v>
      </c>
      <c r="M562" s="37">
        <v>39.365000000000002</v>
      </c>
      <c r="N562" s="39">
        <f>+M562-O562</f>
        <v>4.757000000000005</v>
      </c>
      <c r="O562" s="37">
        <v>34.607999999999997</v>
      </c>
      <c r="P562" s="40">
        <v>0</v>
      </c>
      <c r="Q562" s="40">
        <v>0</v>
      </c>
      <c r="R562" s="41">
        <f>SUM(P562:Q562)</f>
        <v>0</v>
      </c>
      <c r="S562" s="42">
        <v>3618</v>
      </c>
    </row>
    <row r="563" spans="2:19" ht="15.75" x14ac:dyDescent="0.25">
      <c r="B563" s="34">
        <f>+B562+1</f>
        <v>3</v>
      </c>
      <c r="C563" s="34" t="s">
        <v>859</v>
      </c>
      <c r="D563" s="35" t="s">
        <v>860</v>
      </c>
      <c r="E563" s="36">
        <v>42551</v>
      </c>
      <c r="F563" s="37"/>
      <c r="G563" s="38">
        <v>10</v>
      </c>
      <c r="H563" s="39">
        <f>+F563/G563</f>
        <v>0</v>
      </c>
      <c r="I563" s="37"/>
      <c r="J563" s="37"/>
      <c r="K563" s="37"/>
      <c r="L563" s="37"/>
      <c r="M563" s="37"/>
      <c r="N563" s="39">
        <f>+M563-O563</f>
        <v>0</v>
      </c>
      <c r="O563" s="37"/>
      <c r="P563" s="40"/>
      <c r="Q563" s="40"/>
      <c r="R563" s="41">
        <f>SUM(P563:Q563)</f>
        <v>0</v>
      </c>
      <c r="S563" s="42"/>
    </row>
    <row r="564" spans="2:19" ht="15.75" x14ac:dyDescent="0.25">
      <c r="B564" s="29"/>
      <c r="C564" s="29"/>
      <c r="D564" s="29"/>
      <c r="E564" s="29"/>
      <c r="F564" s="29"/>
      <c r="G564" s="43"/>
      <c r="H564" s="44"/>
      <c r="I564" s="31"/>
      <c r="J564" s="31"/>
      <c r="K564" s="31"/>
      <c r="L564" s="31"/>
      <c r="M564" s="31"/>
      <c r="N564" s="45"/>
      <c r="O564" s="31"/>
      <c r="P564" s="31"/>
      <c r="Q564" s="31"/>
      <c r="R564" s="45"/>
      <c r="S564" s="31"/>
    </row>
    <row r="565" spans="2:19" ht="15.75" x14ac:dyDescent="0.25">
      <c r="B565" s="34">
        <f>COUNT(B546:B564)</f>
        <v>16</v>
      </c>
      <c r="C565" s="34"/>
      <c r="D565" s="48"/>
      <c r="E565" s="48"/>
      <c r="F565" s="48">
        <f>SUM(F546:F564)</f>
        <v>15381.048810000002</v>
      </c>
      <c r="G565" s="49"/>
      <c r="H565" s="50">
        <f t="shared" ref="H565:O565" si="94">SUM(H546:H564)</f>
        <v>1538.1048810000002</v>
      </c>
      <c r="I565" s="48">
        <f t="shared" si="94"/>
        <v>36267.971099000009</v>
      </c>
      <c r="J565" s="48">
        <f t="shared" si="94"/>
        <v>123609.940122</v>
      </c>
      <c r="K565" s="48">
        <f t="shared" si="94"/>
        <v>96204.958930000023</v>
      </c>
      <c r="L565" s="48">
        <f t="shared" si="94"/>
        <v>3336.2401650000002</v>
      </c>
      <c r="M565" s="48">
        <f t="shared" si="94"/>
        <v>7866.0683040000004</v>
      </c>
      <c r="N565" s="51">
        <f t="shared" si="94"/>
        <v>2293.7773540000003</v>
      </c>
      <c r="O565" s="48">
        <f t="shared" si="94"/>
        <v>5572.2909500000005</v>
      </c>
      <c r="P565" s="52"/>
      <c r="Q565" s="52"/>
      <c r="R565" s="53"/>
      <c r="S565" s="54">
        <f>SUM(S546:S564)</f>
        <v>58834</v>
      </c>
    </row>
    <row r="566" spans="2:19" ht="15.75" x14ac:dyDescent="0.25">
      <c r="B566" s="29"/>
      <c r="C566" s="29"/>
      <c r="D566" s="29"/>
      <c r="E566" s="29"/>
      <c r="F566" s="29"/>
      <c r="G566" s="43"/>
      <c r="H566" s="44"/>
      <c r="I566" s="31"/>
      <c r="J566" s="31"/>
      <c r="K566" s="31"/>
      <c r="L566" s="31"/>
      <c r="M566" s="31"/>
      <c r="N566" s="45"/>
      <c r="O566" s="31"/>
      <c r="P566" s="31"/>
      <c r="Q566" s="31"/>
      <c r="R566" s="45"/>
      <c r="S566" s="31"/>
    </row>
    <row r="567" spans="2:19" ht="15.75" x14ac:dyDescent="0.25">
      <c r="B567" s="29"/>
      <c r="C567" s="29"/>
      <c r="D567" s="29"/>
      <c r="E567" s="29"/>
      <c r="F567" s="29"/>
      <c r="G567" s="43"/>
      <c r="H567" s="44"/>
      <c r="I567" s="31"/>
      <c r="J567" s="31"/>
      <c r="K567" s="31"/>
      <c r="L567" s="31"/>
      <c r="M567" s="31"/>
      <c r="N567" s="45"/>
      <c r="O567" s="31"/>
      <c r="P567" s="31"/>
      <c r="Q567" s="31"/>
      <c r="R567" s="45"/>
      <c r="S567" s="31"/>
    </row>
    <row r="568" spans="2:19" ht="18.75" x14ac:dyDescent="0.3">
      <c r="B568" s="29"/>
      <c r="C568" s="33">
        <v>22</v>
      </c>
      <c r="D568" s="33" t="s">
        <v>861</v>
      </c>
      <c r="E568" s="61"/>
      <c r="F568" s="61"/>
      <c r="G568" s="43"/>
      <c r="H568" s="44"/>
      <c r="I568" s="31"/>
      <c r="J568" s="31"/>
      <c r="K568" s="31"/>
      <c r="L568" s="31"/>
      <c r="M568" s="31"/>
      <c r="N568" s="45"/>
      <c r="O568" s="31"/>
      <c r="P568" s="31"/>
      <c r="Q568" s="31"/>
      <c r="R568" s="45"/>
      <c r="S568" s="31"/>
    </row>
    <row r="569" spans="2:19" ht="15.75" x14ac:dyDescent="0.25">
      <c r="B569" s="29"/>
      <c r="C569" s="29"/>
      <c r="D569" s="29"/>
      <c r="E569" s="29"/>
      <c r="F569" s="29"/>
      <c r="G569" s="43"/>
      <c r="H569" s="44"/>
      <c r="I569" s="31"/>
      <c r="J569" s="31"/>
      <c r="K569" s="31"/>
      <c r="L569" s="31"/>
      <c r="M569" s="31"/>
      <c r="N569" s="45"/>
      <c r="O569" s="31"/>
      <c r="P569" s="31"/>
      <c r="Q569" s="31"/>
      <c r="R569" s="45"/>
      <c r="S569" s="31"/>
    </row>
    <row r="570" spans="2:19" ht="15.75" x14ac:dyDescent="0.25">
      <c r="B570" s="34">
        <v>1</v>
      </c>
      <c r="C570" s="34" t="s">
        <v>862</v>
      </c>
      <c r="D570" s="35" t="s">
        <v>863</v>
      </c>
      <c r="E570" s="36">
        <v>42735</v>
      </c>
      <c r="F570" s="37">
        <v>289.82100000000003</v>
      </c>
      <c r="G570" s="38">
        <v>5</v>
      </c>
      <c r="H570" s="39">
        <f t="shared" ref="H570:H581" si="95">+F570/G570</f>
        <v>57.964200000000005</v>
      </c>
      <c r="I570" s="37">
        <v>3359.4690000000001</v>
      </c>
      <c r="J570" s="37">
        <v>4644.3159999999998</v>
      </c>
      <c r="K570" s="37">
        <v>12098.828</v>
      </c>
      <c r="L570" s="37">
        <v>1.018</v>
      </c>
      <c r="M570" s="37">
        <v>2877.5250000000001</v>
      </c>
      <c r="N570" s="39">
        <f t="shared" ref="N570:N581" si="96">+M570-O570</f>
        <v>950.64100000000008</v>
      </c>
      <c r="O570" s="37">
        <v>1926.884</v>
      </c>
      <c r="P570" s="40">
        <f>500+500+250</f>
        <v>1250</v>
      </c>
      <c r="Q570" s="40">
        <v>0</v>
      </c>
      <c r="R570" s="41">
        <f t="shared" ref="R570:R581" si="97">SUM(P570:Q570)</f>
        <v>1250</v>
      </c>
      <c r="S570" s="42">
        <v>2959</v>
      </c>
    </row>
    <row r="571" spans="2:19" ht="15.75" x14ac:dyDescent="0.25">
      <c r="B571" s="34">
        <f>+B570+1</f>
        <v>2</v>
      </c>
      <c r="C571" s="34" t="s">
        <v>864</v>
      </c>
      <c r="D571" s="35" t="s">
        <v>865</v>
      </c>
      <c r="E571" s="36">
        <v>42460</v>
      </c>
      <c r="F571" s="37">
        <v>1034.066</v>
      </c>
      <c r="G571" s="38">
        <v>10</v>
      </c>
      <c r="H571" s="39">
        <f t="shared" si="95"/>
        <v>103.4066</v>
      </c>
      <c r="I571" s="37">
        <v>11002.123</v>
      </c>
      <c r="J571" s="37">
        <v>20368.962</v>
      </c>
      <c r="K571" s="37">
        <v>55022.415000000001</v>
      </c>
      <c r="L571" s="37">
        <v>15.28</v>
      </c>
      <c r="M571" s="37">
        <v>4044.4290000000001</v>
      </c>
      <c r="N571" s="39">
        <f t="shared" si="96"/>
        <v>1042.6300000000001</v>
      </c>
      <c r="O571" s="37">
        <v>3001.799</v>
      </c>
      <c r="P571" s="40">
        <f>145</f>
        <v>145</v>
      </c>
      <c r="Q571" s="40">
        <v>0</v>
      </c>
      <c r="R571" s="41">
        <f t="shared" si="97"/>
        <v>145</v>
      </c>
      <c r="S571" s="42">
        <v>1436</v>
      </c>
    </row>
    <row r="572" spans="2:19" ht="15.75" x14ac:dyDescent="0.25">
      <c r="B572" s="34">
        <f t="shared" ref="B572:B581" si="98">+B571+1</f>
        <v>3</v>
      </c>
      <c r="C572" s="34" t="s">
        <v>866</v>
      </c>
      <c r="D572" s="35" t="s">
        <v>867</v>
      </c>
      <c r="E572" s="36">
        <v>42551</v>
      </c>
      <c r="F572" s="37">
        <v>1087.3530000000001</v>
      </c>
      <c r="G572" s="38">
        <v>10</v>
      </c>
      <c r="H572" s="39">
        <f t="shared" si="95"/>
        <v>108.73530000000001</v>
      </c>
      <c r="I572" s="37">
        <v>-2025.683</v>
      </c>
      <c r="J572" s="37">
        <v>3491.47</v>
      </c>
      <c r="K572" s="37">
        <v>19.800999999999998</v>
      </c>
      <c r="L572" s="37">
        <v>0.13700000000000001</v>
      </c>
      <c r="M572" s="37">
        <v>-43.06</v>
      </c>
      <c r="N572" s="39">
        <f t="shared" si="96"/>
        <v>0</v>
      </c>
      <c r="O572" s="37">
        <v>-43.06</v>
      </c>
      <c r="P572" s="40">
        <v>0</v>
      </c>
      <c r="Q572" s="40">
        <v>0</v>
      </c>
      <c r="R572" s="41">
        <f t="shared" si="97"/>
        <v>0</v>
      </c>
      <c r="S572" s="42">
        <v>5105</v>
      </c>
    </row>
    <row r="573" spans="2:19" ht="15.75" x14ac:dyDescent="0.25">
      <c r="B573" s="34">
        <f t="shared" si="98"/>
        <v>4</v>
      </c>
      <c r="C573" s="34" t="s">
        <v>868</v>
      </c>
      <c r="D573" s="35" t="s">
        <v>869</v>
      </c>
      <c r="E573" s="36">
        <v>42551</v>
      </c>
      <c r="F573" s="37">
        <v>500</v>
      </c>
      <c r="G573" s="38">
        <v>10</v>
      </c>
      <c r="H573" s="39">
        <f t="shared" si="95"/>
        <v>50</v>
      </c>
      <c r="I573" s="37">
        <v>142.399618</v>
      </c>
      <c r="J573" s="37">
        <v>356.739958</v>
      </c>
      <c r="K573" s="37">
        <v>56.070841000000001</v>
      </c>
      <c r="L573" s="37">
        <v>0.28962500000000002</v>
      </c>
      <c r="M573" s="37">
        <v>-76.894250999999997</v>
      </c>
      <c r="N573" s="39">
        <f t="shared" si="96"/>
        <v>-1.9031459999999925</v>
      </c>
      <c r="O573" s="37">
        <v>-74.991105000000005</v>
      </c>
      <c r="P573" s="40">
        <v>0</v>
      </c>
      <c r="Q573" s="40">
        <v>0</v>
      </c>
      <c r="R573" s="41">
        <f t="shared" si="97"/>
        <v>0</v>
      </c>
      <c r="S573" s="42">
        <v>4255</v>
      </c>
    </row>
    <row r="574" spans="2:19" ht="15.75" x14ac:dyDescent="0.25">
      <c r="B574" s="34">
        <f t="shared" si="98"/>
        <v>5</v>
      </c>
      <c r="C574" s="34" t="s">
        <v>870</v>
      </c>
      <c r="D574" s="35" t="s">
        <v>871</v>
      </c>
      <c r="E574" s="36">
        <v>42551</v>
      </c>
      <c r="F574" s="37">
        <v>213.04400000000001</v>
      </c>
      <c r="G574" s="38">
        <v>10</v>
      </c>
      <c r="H574" s="39">
        <f t="shared" si="95"/>
        <v>21.304400000000001</v>
      </c>
      <c r="I574" s="37">
        <v>1235.5609999999999</v>
      </c>
      <c r="J574" s="37">
        <v>5160.1989999999996</v>
      </c>
      <c r="K574" s="37">
        <v>5825.5789999999997</v>
      </c>
      <c r="L574" s="37">
        <v>113.07299999999999</v>
      </c>
      <c r="M574" s="37">
        <v>1098.105</v>
      </c>
      <c r="N574" s="39">
        <f t="shared" si="96"/>
        <v>352.24400000000003</v>
      </c>
      <c r="O574" s="37">
        <v>745.86099999999999</v>
      </c>
      <c r="P574" s="40">
        <f>100</f>
        <v>100</v>
      </c>
      <c r="Q574" s="40">
        <v>0</v>
      </c>
      <c r="R574" s="41">
        <f t="shared" si="97"/>
        <v>100</v>
      </c>
      <c r="S574" s="42">
        <v>4837</v>
      </c>
    </row>
    <row r="575" spans="2:19" ht="15.75" x14ac:dyDescent="0.25">
      <c r="B575" s="34">
        <f t="shared" si="98"/>
        <v>6</v>
      </c>
      <c r="C575" s="34" t="s">
        <v>872</v>
      </c>
      <c r="D575" s="35" t="s">
        <v>873</v>
      </c>
      <c r="E575" s="36">
        <v>42551</v>
      </c>
      <c r="F575" s="37">
        <v>450.02499999999998</v>
      </c>
      <c r="G575" s="38">
        <v>10</v>
      </c>
      <c r="H575" s="39">
        <f t="shared" si="95"/>
        <v>45.002499999999998</v>
      </c>
      <c r="I575" s="37">
        <v>1601.2159999999999</v>
      </c>
      <c r="J575" s="37">
        <v>4081.09</v>
      </c>
      <c r="K575" s="37">
        <v>5005.1480000000001</v>
      </c>
      <c r="L575" s="37">
        <v>18.443000000000001</v>
      </c>
      <c r="M575" s="37">
        <v>832.51099999999997</v>
      </c>
      <c r="N575" s="39">
        <f t="shared" si="96"/>
        <v>286.24799999999993</v>
      </c>
      <c r="O575" s="37">
        <v>546.26300000000003</v>
      </c>
      <c r="P575" s="40">
        <f>10+50</f>
        <v>60</v>
      </c>
      <c r="Q575" s="40">
        <v>0</v>
      </c>
      <c r="R575" s="41">
        <f t="shared" si="97"/>
        <v>60</v>
      </c>
      <c r="S575" s="42">
        <v>3886</v>
      </c>
    </row>
    <row r="576" spans="2:19" ht="15.75" x14ac:dyDescent="0.25">
      <c r="B576" s="34">
        <f t="shared" si="98"/>
        <v>7</v>
      </c>
      <c r="C576" s="34" t="s">
        <v>874</v>
      </c>
      <c r="D576" s="35" t="s">
        <v>875</v>
      </c>
      <c r="E576" s="36">
        <v>42460</v>
      </c>
      <c r="F576" s="37">
        <v>1428</v>
      </c>
      <c r="G576" s="38">
        <v>10</v>
      </c>
      <c r="H576" s="39">
        <f t="shared" si="95"/>
        <v>142.80000000000001</v>
      </c>
      <c r="I576" s="37">
        <v>7940.9489999999996</v>
      </c>
      <c r="J576" s="37">
        <v>16204.897999999999</v>
      </c>
      <c r="K576" s="37">
        <v>40085.521000000001</v>
      </c>
      <c r="L576" s="37">
        <v>6.9909999999999997</v>
      </c>
      <c r="M576" s="37">
        <v>5178.8819999999996</v>
      </c>
      <c r="N576" s="39">
        <f t="shared" si="96"/>
        <v>1623.0999999999995</v>
      </c>
      <c r="O576" s="37">
        <v>3555.7820000000002</v>
      </c>
      <c r="P576" s="40">
        <f>70</f>
        <v>70</v>
      </c>
      <c r="Q576" s="40">
        <v>0</v>
      </c>
      <c r="R576" s="41">
        <f t="shared" si="97"/>
        <v>70</v>
      </c>
      <c r="S576" s="42">
        <v>4841</v>
      </c>
    </row>
    <row r="577" spans="2:19" ht="15.75" x14ac:dyDescent="0.25">
      <c r="B577" s="34">
        <f t="shared" si="98"/>
        <v>8</v>
      </c>
      <c r="C577" s="34" t="s">
        <v>876</v>
      </c>
      <c r="D577" s="35" t="s">
        <v>877</v>
      </c>
      <c r="E577" s="36">
        <v>42460</v>
      </c>
      <c r="F577" s="37">
        <v>124.006</v>
      </c>
      <c r="G577" s="38">
        <v>10</v>
      </c>
      <c r="H577" s="39">
        <f t="shared" si="95"/>
        <v>12.400600000000001</v>
      </c>
      <c r="I577" s="37">
        <v>3088.739</v>
      </c>
      <c r="J577" s="37">
        <v>9664.3259999999991</v>
      </c>
      <c r="K577" s="37">
        <v>18086.849999999999</v>
      </c>
      <c r="L577" s="37">
        <v>304.70299999999997</v>
      </c>
      <c r="M577" s="37">
        <v>1727.0419999999999</v>
      </c>
      <c r="N577" s="39">
        <f t="shared" si="96"/>
        <v>613.66699999999992</v>
      </c>
      <c r="O577" s="37">
        <v>1113.375</v>
      </c>
      <c r="P577" s="40">
        <f>897.8</f>
        <v>897.8</v>
      </c>
      <c r="Q577" s="40">
        <v>0</v>
      </c>
      <c r="R577" s="41">
        <f t="shared" si="97"/>
        <v>897.8</v>
      </c>
      <c r="S577" s="42">
        <v>1341</v>
      </c>
    </row>
    <row r="578" spans="2:19" ht="15.75" x14ac:dyDescent="0.25">
      <c r="B578" s="34">
        <f t="shared" si="98"/>
        <v>9</v>
      </c>
      <c r="C578" s="34" t="s">
        <v>878</v>
      </c>
      <c r="D578" s="35" t="s">
        <v>879</v>
      </c>
      <c r="E578" s="36">
        <v>42551</v>
      </c>
      <c r="F578" s="37">
        <v>786</v>
      </c>
      <c r="G578" s="38">
        <v>10</v>
      </c>
      <c r="H578" s="39">
        <f t="shared" si="95"/>
        <v>78.599999999999994</v>
      </c>
      <c r="I578" s="37">
        <v>27629.609</v>
      </c>
      <c r="J578" s="37">
        <v>57536.993999999999</v>
      </c>
      <c r="K578" s="37">
        <v>108758.66800000001</v>
      </c>
      <c r="L578" s="37">
        <v>77.271000000000001</v>
      </c>
      <c r="M578" s="37">
        <v>17397.446</v>
      </c>
      <c r="N578" s="39">
        <f t="shared" si="96"/>
        <v>5942.5059999999994</v>
      </c>
      <c r="O578" s="37">
        <v>11454.94</v>
      </c>
      <c r="P578" s="40">
        <f>200+200+200+400</f>
        <v>1000</v>
      </c>
      <c r="Q578" s="40">
        <v>0</v>
      </c>
      <c r="R578" s="41">
        <f t="shared" si="97"/>
        <v>1000</v>
      </c>
      <c r="S578" s="42">
        <v>4136</v>
      </c>
    </row>
    <row r="579" spans="2:19" ht="15.75" x14ac:dyDescent="0.25">
      <c r="B579" s="34">
        <f t="shared" si="98"/>
        <v>10</v>
      </c>
      <c r="C579" s="34" t="s">
        <v>880</v>
      </c>
      <c r="D579" s="35" t="s">
        <v>881</v>
      </c>
      <c r="E579" s="36">
        <v>42551</v>
      </c>
      <c r="F579" s="37">
        <v>442.92599999999999</v>
      </c>
      <c r="G579" s="38">
        <v>10</v>
      </c>
      <c r="H579" s="39">
        <f t="shared" si="95"/>
        <v>44.2926</v>
      </c>
      <c r="I579" s="37">
        <v>4141.76</v>
      </c>
      <c r="J579" s="37">
        <v>9651.3220000000001</v>
      </c>
      <c r="K579" s="37">
        <v>16913.831999999999</v>
      </c>
      <c r="L579" s="37">
        <v>15.3</v>
      </c>
      <c r="M579" s="37">
        <v>2620.806</v>
      </c>
      <c r="N579" s="39">
        <f t="shared" si="96"/>
        <v>870.50800000000004</v>
      </c>
      <c r="O579" s="37">
        <v>1750.298</v>
      </c>
      <c r="P579" s="40">
        <f>200+300</f>
        <v>500</v>
      </c>
      <c r="Q579" s="40">
        <v>0</v>
      </c>
      <c r="R579" s="41">
        <f t="shared" si="97"/>
        <v>500</v>
      </c>
      <c r="S579" s="42">
        <v>3452</v>
      </c>
    </row>
    <row r="580" spans="2:19" ht="15.75" x14ac:dyDescent="0.25">
      <c r="B580" s="34">
        <f t="shared" si="98"/>
        <v>11</v>
      </c>
      <c r="C580" s="34" t="s">
        <v>882</v>
      </c>
      <c r="D580" s="35" t="s">
        <v>883</v>
      </c>
      <c r="E580" s="36">
        <v>42735</v>
      </c>
      <c r="F580" s="37">
        <v>822.99900000000002</v>
      </c>
      <c r="G580" s="38">
        <v>10</v>
      </c>
      <c r="H580" s="39">
        <f t="shared" si="95"/>
        <v>82.299900000000008</v>
      </c>
      <c r="I580" s="37">
        <v>26216.906999999999</v>
      </c>
      <c r="J580" s="37">
        <v>37851.964999999997</v>
      </c>
      <c r="K580" s="37">
        <v>76516.039999999994</v>
      </c>
      <c r="L580" s="37">
        <v>95.775000000000006</v>
      </c>
      <c r="M580" s="37">
        <v>4415.2359999999999</v>
      </c>
      <c r="N580" s="39">
        <f t="shared" si="96"/>
        <v>1642.6009999999997</v>
      </c>
      <c r="O580" s="37">
        <v>2772.6350000000002</v>
      </c>
      <c r="P580" s="40">
        <v>55</v>
      </c>
      <c r="Q580" s="40">
        <v>0</v>
      </c>
      <c r="R580" s="41">
        <f t="shared" si="97"/>
        <v>55</v>
      </c>
      <c r="S580" s="42">
        <v>5635</v>
      </c>
    </row>
    <row r="581" spans="2:19" ht="15.75" x14ac:dyDescent="0.25">
      <c r="B581" s="34">
        <f t="shared" si="98"/>
        <v>12</v>
      </c>
      <c r="C581" s="34" t="s">
        <v>884</v>
      </c>
      <c r="D581" s="35" t="s">
        <v>885</v>
      </c>
      <c r="E581" s="36">
        <v>42551</v>
      </c>
      <c r="F581" s="37">
        <v>179.72368</v>
      </c>
      <c r="G581" s="38">
        <v>10</v>
      </c>
      <c r="H581" s="39">
        <f t="shared" si="95"/>
        <v>17.972367999999999</v>
      </c>
      <c r="I581" s="37">
        <v>689.414759</v>
      </c>
      <c r="J581" s="37">
        <v>1177.6788899999999</v>
      </c>
      <c r="K581" s="37">
        <v>2873.8665409999999</v>
      </c>
      <c r="L581" s="37">
        <v>2.7796690000000002</v>
      </c>
      <c r="M581" s="37">
        <v>153.957796</v>
      </c>
      <c r="N581" s="39">
        <f t="shared" si="96"/>
        <v>46.288058000000007</v>
      </c>
      <c r="O581" s="37">
        <v>107.669738</v>
      </c>
      <c r="P581" s="40">
        <f>10+15</f>
        <v>25</v>
      </c>
      <c r="Q581" s="40">
        <v>0</v>
      </c>
      <c r="R581" s="41">
        <f t="shared" si="97"/>
        <v>25</v>
      </c>
      <c r="S581" s="42">
        <v>730</v>
      </c>
    </row>
    <row r="582" spans="2:19" ht="15.75" x14ac:dyDescent="0.25">
      <c r="B582" s="29"/>
      <c r="C582" s="29"/>
      <c r="D582" s="29"/>
      <c r="E582" s="29"/>
      <c r="F582" s="29"/>
      <c r="G582" s="43"/>
      <c r="H582" s="44"/>
      <c r="I582" s="31"/>
      <c r="J582" s="31"/>
      <c r="K582" s="31"/>
      <c r="L582" s="31"/>
      <c r="M582" s="31"/>
      <c r="N582" s="45"/>
      <c r="O582" s="31"/>
      <c r="P582" s="31"/>
      <c r="Q582" s="31"/>
      <c r="R582" s="45"/>
      <c r="S582" s="31"/>
    </row>
    <row r="583" spans="2:19" ht="15.75" x14ac:dyDescent="0.25">
      <c r="B583" s="34">
        <f>COUNT(B570:B582)</f>
        <v>12</v>
      </c>
      <c r="C583" s="34"/>
      <c r="D583" s="48"/>
      <c r="E583" s="48"/>
      <c r="F583" s="48">
        <f>SUM(F570:F582)</f>
        <v>7357.9636800000007</v>
      </c>
      <c r="G583" s="49"/>
      <c r="H583" s="50">
        <f t="shared" ref="H583:O583" si="99">SUM(H570:H582)</f>
        <v>764.77846799999998</v>
      </c>
      <c r="I583" s="48">
        <f t="shared" si="99"/>
        <v>85022.464377000011</v>
      </c>
      <c r="J583" s="48">
        <f t="shared" si="99"/>
        <v>170189.96084800002</v>
      </c>
      <c r="K583" s="48">
        <f t="shared" si="99"/>
        <v>341262.619382</v>
      </c>
      <c r="L583" s="48">
        <f t="shared" si="99"/>
        <v>651.06029399999989</v>
      </c>
      <c r="M583" s="48">
        <f t="shared" si="99"/>
        <v>40225.985544999996</v>
      </c>
      <c r="N583" s="51">
        <f t="shared" si="99"/>
        <v>13368.529912</v>
      </c>
      <c r="O583" s="48">
        <f t="shared" si="99"/>
        <v>26857.455633000001</v>
      </c>
      <c r="P583" s="52"/>
      <c r="Q583" s="52"/>
      <c r="R583" s="53"/>
      <c r="S583" s="54">
        <f>SUM(S570:S582)</f>
        <v>42613</v>
      </c>
    </row>
    <row r="584" spans="2:19" ht="15.75" x14ac:dyDescent="0.25">
      <c r="B584" s="29"/>
      <c r="C584" s="29"/>
      <c r="D584" s="29"/>
      <c r="E584" s="29"/>
      <c r="F584" s="29"/>
      <c r="G584" s="43"/>
      <c r="H584" s="44"/>
      <c r="I584" s="31"/>
      <c r="J584" s="31"/>
      <c r="K584" s="31"/>
      <c r="L584" s="31"/>
      <c r="M584" s="31"/>
      <c r="N584" s="45"/>
      <c r="O584" s="31"/>
      <c r="P584" s="31"/>
      <c r="Q584" s="31"/>
      <c r="R584" s="45"/>
      <c r="S584" s="31"/>
    </row>
    <row r="585" spans="2:19" ht="15.75" x14ac:dyDescent="0.25">
      <c r="B585" s="29"/>
      <c r="C585" s="29"/>
      <c r="D585" s="29"/>
      <c r="E585" s="29"/>
      <c r="F585" s="29"/>
      <c r="G585" s="43"/>
      <c r="H585" s="44"/>
      <c r="I585" s="31"/>
      <c r="J585" s="31"/>
      <c r="K585" s="31"/>
      <c r="L585" s="31"/>
      <c r="M585" s="31"/>
      <c r="N585" s="45"/>
      <c r="O585" s="31"/>
      <c r="P585" s="31"/>
      <c r="Q585" s="31"/>
      <c r="R585" s="45"/>
      <c r="S585" s="31"/>
    </row>
    <row r="586" spans="2:19" ht="18.75" x14ac:dyDescent="0.3">
      <c r="B586" s="29"/>
      <c r="C586" s="33">
        <v>23</v>
      </c>
      <c r="D586" s="33" t="s">
        <v>886</v>
      </c>
      <c r="E586" s="61"/>
      <c r="F586" s="61"/>
      <c r="G586" s="43"/>
      <c r="H586" s="44"/>
      <c r="I586" s="31"/>
      <c r="J586" s="31"/>
      <c r="K586" s="31"/>
      <c r="L586" s="31"/>
      <c r="M586" s="31"/>
      <c r="N586" s="45"/>
      <c r="O586" s="31"/>
      <c r="P586" s="31"/>
      <c r="Q586" s="31"/>
      <c r="R586" s="45"/>
      <c r="S586" s="31"/>
    </row>
    <row r="587" spans="2:19" ht="15.75" x14ac:dyDescent="0.25">
      <c r="B587" s="29"/>
      <c r="C587" s="29"/>
      <c r="D587" s="29"/>
      <c r="E587" s="29"/>
      <c r="F587" s="29"/>
      <c r="G587" s="43"/>
      <c r="H587" s="44"/>
      <c r="I587" s="31"/>
      <c r="J587" s="31"/>
      <c r="K587" s="31"/>
      <c r="L587" s="31"/>
      <c r="M587" s="31"/>
      <c r="N587" s="45"/>
      <c r="O587" s="31"/>
      <c r="P587" s="31"/>
      <c r="Q587" s="31"/>
      <c r="R587" s="45"/>
      <c r="S587" s="31"/>
    </row>
    <row r="588" spans="2:19" ht="15.75" x14ac:dyDescent="0.25">
      <c r="B588" s="34">
        <v>1</v>
      </c>
      <c r="C588" s="34" t="s">
        <v>887</v>
      </c>
      <c r="D588" s="35" t="s">
        <v>888</v>
      </c>
      <c r="E588" s="36">
        <v>42551</v>
      </c>
      <c r="F588" s="37">
        <v>144</v>
      </c>
      <c r="G588" s="38">
        <v>5</v>
      </c>
      <c r="H588" s="39">
        <f t="shared" ref="H588:H594" si="100">+F588/G588</f>
        <v>28.8</v>
      </c>
      <c r="I588" s="37">
        <v>3347.1419999999998</v>
      </c>
      <c r="J588" s="37">
        <v>3760.2379999999998</v>
      </c>
      <c r="K588" s="37">
        <v>5758.38</v>
      </c>
      <c r="L588" s="37">
        <v>0.54700000000000004</v>
      </c>
      <c r="M588" s="37">
        <v>713.33199999999999</v>
      </c>
      <c r="N588" s="39">
        <f t="shared" ref="N588:N594" si="101">+M588-O588</f>
        <v>228.86799999999999</v>
      </c>
      <c r="O588" s="37">
        <v>484.464</v>
      </c>
      <c r="P588" s="40">
        <f>50+125</f>
        <v>175</v>
      </c>
      <c r="Q588" s="40">
        <v>0</v>
      </c>
      <c r="R588" s="41">
        <f t="shared" ref="R588:R594" si="102">SUM(P588:Q588)</f>
        <v>175</v>
      </c>
      <c r="S588" s="42">
        <v>3513</v>
      </c>
    </row>
    <row r="589" spans="2:19" ht="15.75" x14ac:dyDescent="0.25">
      <c r="B589" s="34">
        <f t="shared" ref="B589:B594" si="103">+B588+1</f>
        <v>2</v>
      </c>
      <c r="C589" s="34" t="s">
        <v>889</v>
      </c>
      <c r="D589" s="35" t="s">
        <v>890</v>
      </c>
      <c r="E589" s="36">
        <v>42551</v>
      </c>
      <c r="F589" s="37">
        <v>173.99799999999999</v>
      </c>
      <c r="G589" s="38">
        <v>10</v>
      </c>
      <c r="H589" s="39">
        <f t="shared" si="100"/>
        <v>17.399799999999999</v>
      </c>
      <c r="I589" s="37">
        <v>4278.2920000000004</v>
      </c>
      <c r="J589" s="37">
        <v>6706.0370000000003</v>
      </c>
      <c r="K589" s="37">
        <v>14019.507</v>
      </c>
      <c r="L589" s="37">
        <v>71.875</v>
      </c>
      <c r="M589" s="37">
        <v>1868.1859999999999</v>
      </c>
      <c r="N589" s="39">
        <f t="shared" si="101"/>
        <v>597.35899999999992</v>
      </c>
      <c r="O589" s="37">
        <v>1270.827</v>
      </c>
      <c r="P589" s="40">
        <f>155</f>
        <v>155</v>
      </c>
      <c r="Q589" s="40">
        <v>0</v>
      </c>
      <c r="R589" s="41">
        <f t="shared" si="102"/>
        <v>155</v>
      </c>
      <c r="S589" s="42">
        <v>1434</v>
      </c>
    </row>
    <row r="590" spans="2:19" ht="15.75" x14ac:dyDescent="0.25">
      <c r="B590" s="34">
        <f t="shared" si="103"/>
        <v>3</v>
      </c>
      <c r="C590" s="34" t="s">
        <v>891</v>
      </c>
      <c r="D590" s="35" t="s">
        <v>892</v>
      </c>
      <c r="E590" s="36">
        <v>42551</v>
      </c>
      <c r="F590" s="37">
        <v>133.34299999999999</v>
      </c>
      <c r="G590" s="38">
        <v>10</v>
      </c>
      <c r="H590" s="39">
        <f t="shared" si="100"/>
        <v>13.334299999999999</v>
      </c>
      <c r="I590" s="37">
        <v>1185.373</v>
      </c>
      <c r="J590" s="37">
        <v>1338.5820000000001</v>
      </c>
      <c r="K590" s="37">
        <v>1471.558</v>
      </c>
      <c r="L590" s="37">
        <v>0.82699999999999996</v>
      </c>
      <c r="M590" s="37">
        <v>253.00200000000001</v>
      </c>
      <c r="N590" s="39">
        <f t="shared" si="101"/>
        <v>99.730000000000018</v>
      </c>
      <c r="O590" s="37">
        <v>153.27199999999999</v>
      </c>
      <c r="P590" s="40">
        <f>50</f>
        <v>50</v>
      </c>
      <c r="Q590" s="40">
        <v>0</v>
      </c>
      <c r="R590" s="41">
        <f t="shared" si="102"/>
        <v>50</v>
      </c>
      <c r="S590" s="42">
        <v>1312</v>
      </c>
    </row>
    <row r="591" spans="2:19" ht="15.75" x14ac:dyDescent="0.25">
      <c r="B591" s="34">
        <f t="shared" si="103"/>
        <v>4</v>
      </c>
      <c r="C591" s="34" t="s">
        <v>893</v>
      </c>
      <c r="D591" s="35" t="s">
        <v>894</v>
      </c>
      <c r="E591" s="36">
        <v>42460</v>
      </c>
      <c r="F591" s="37">
        <v>77.686000000000007</v>
      </c>
      <c r="G591" s="38">
        <v>10</v>
      </c>
      <c r="H591" s="39">
        <f t="shared" si="100"/>
        <v>7.7686000000000011</v>
      </c>
      <c r="I591" s="37">
        <v>3061.069</v>
      </c>
      <c r="J591" s="37">
        <v>7781.8440000000001</v>
      </c>
      <c r="K591" s="37">
        <v>11788.316000000001</v>
      </c>
      <c r="L591" s="37">
        <v>174.16399999999999</v>
      </c>
      <c r="M591" s="37">
        <v>651.54200000000003</v>
      </c>
      <c r="N591" s="39">
        <f t="shared" si="101"/>
        <v>226.92600000000004</v>
      </c>
      <c r="O591" s="37">
        <v>424.61599999999999</v>
      </c>
      <c r="P591" s="40">
        <f>100</f>
        <v>100</v>
      </c>
      <c r="Q591" s="40">
        <v>0</v>
      </c>
      <c r="R591" s="41">
        <f t="shared" si="102"/>
        <v>100</v>
      </c>
      <c r="S591" s="42">
        <v>1739</v>
      </c>
    </row>
    <row r="592" spans="2:19" ht="15.75" x14ac:dyDescent="0.25">
      <c r="B592" s="34">
        <f t="shared" si="103"/>
        <v>5</v>
      </c>
      <c r="C592" s="34" t="s">
        <v>895</v>
      </c>
      <c r="D592" s="35" t="s">
        <v>896</v>
      </c>
      <c r="E592" s="36">
        <v>42551</v>
      </c>
      <c r="F592" s="37">
        <v>597.71299999999997</v>
      </c>
      <c r="G592" s="38">
        <v>10</v>
      </c>
      <c r="H592" s="39">
        <f t="shared" si="100"/>
        <v>59.771299999999997</v>
      </c>
      <c r="I592" s="37">
        <v>2949.5219999999999</v>
      </c>
      <c r="J592" s="37">
        <v>6812.509</v>
      </c>
      <c r="K592" s="37">
        <v>9479.0450000000001</v>
      </c>
      <c r="L592" s="37">
        <v>136.15899999999999</v>
      </c>
      <c r="M592" s="37">
        <v>1494.7429999999999</v>
      </c>
      <c r="N592" s="39">
        <f t="shared" si="101"/>
        <v>462.4559999999999</v>
      </c>
      <c r="O592" s="37">
        <v>1032.287</v>
      </c>
      <c r="P592" s="40">
        <v>0</v>
      </c>
      <c r="Q592" s="40">
        <v>0</v>
      </c>
      <c r="R592" s="41">
        <f t="shared" si="102"/>
        <v>0</v>
      </c>
      <c r="S592" s="42">
        <v>2544</v>
      </c>
    </row>
    <row r="593" spans="2:19" ht="15.75" x14ac:dyDescent="0.25">
      <c r="B593" s="34">
        <f t="shared" si="103"/>
        <v>6</v>
      </c>
      <c r="C593" s="34" t="s">
        <v>897</v>
      </c>
      <c r="D593" s="35" t="s">
        <v>898</v>
      </c>
      <c r="E593" s="36">
        <v>42551</v>
      </c>
      <c r="F593" s="37">
        <v>750</v>
      </c>
      <c r="G593" s="38">
        <v>10</v>
      </c>
      <c r="H593" s="39">
        <f>+F593/G593</f>
        <v>75</v>
      </c>
      <c r="I593" s="37">
        <v>1435.8248799999999</v>
      </c>
      <c r="J593" s="37">
        <v>3021.178038</v>
      </c>
      <c r="K593" s="37">
        <v>4035.6582870000002</v>
      </c>
      <c r="L593" s="37">
        <v>116.77231</v>
      </c>
      <c r="M593" s="37">
        <v>141.475245</v>
      </c>
      <c r="N593" s="39">
        <f>+M593-O593</f>
        <v>42.798283999999995</v>
      </c>
      <c r="O593" s="37">
        <v>98.676961000000006</v>
      </c>
      <c r="P593" s="40">
        <v>10</v>
      </c>
      <c r="Q593" s="40">
        <v>10</v>
      </c>
      <c r="R593" s="41">
        <f>SUM(P593:Q593)</f>
        <v>20</v>
      </c>
      <c r="S593" s="42">
        <v>15</v>
      </c>
    </row>
    <row r="594" spans="2:19" ht="15.75" x14ac:dyDescent="0.25">
      <c r="B594" s="34">
        <f t="shared" si="103"/>
        <v>7</v>
      </c>
      <c r="C594" s="34" t="s">
        <v>899</v>
      </c>
      <c r="D594" s="35" t="s">
        <v>900</v>
      </c>
      <c r="E594" s="36">
        <v>42551</v>
      </c>
      <c r="F594" s="37">
        <v>405.15</v>
      </c>
      <c r="G594" s="38">
        <v>5</v>
      </c>
      <c r="H594" s="39">
        <f t="shared" si="100"/>
        <v>81.03</v>
      </c>
      <c r="I594" s="37">
        <v>12227.578</v>
      </c>
      <c r="J594" s="37">
        <v>13685.625</v>
      </c>
      <c r="K594" s="37">
        <v>15266.439</v>
      </c>
      <c r="L594" s="37">
        <v>3.82</v>
      </c>
      <c r="M594" s="37">
        <v>2979.0450000000001</v>
      </c>
      <c r="N594" s="39">
        <f t="shared" si="101"/>
        <v>800.22699999999986</v>
      </c>
      <c r="O594" s="37">
        <v>2178.8180000000002</v>
      </c>
      <c r="P594" s="40">
        <f>75+125</f>
        <v>200</v>
      </c>
      <c r="Q594" s="40">
        <v>0</v>
      </c>
      <c r="R594" s="41">
        <f t="shared" si="102"/>
        <v>200</v>
      </c>
      <c r="S594" s="42">
        <v>4807</v>
      </c>
    </row>
    <row r="595" spans="2:19" ht="15.75" x14ac:dyDescent="0.25">
      <c r="B595" s="29"/>
      <c r="C595" s="29"/>
      <c r="D595" s="29"/>
      <c r="E595" s="29"/>
      <c r="F595" s="29"/>
      <c r="G595" s="43"/>
      <c r="H595" s="44"/>
      <c r="I595" s="31"/>
      <c r="J595" s="31"/>
      <c r="K595" s="31"/>
      <c r="L595" s="31"/>
      <c r="M595" s="31"/>
      <c r="N595" s="45"/>
      <c r="O595" s="31"/>
      <c r="P595" s="31"/>
      <c r="Q595" s="31"/>
      <c r="R595" s="45"/>
      <c r="S595" s="31"/>
    </row>
    <row r="596" spans="2:19" ht="18.75" x14ac:dyDescent="0.3">
      <c r="B596" s="29"/>
      <c r="C596" s="29"/>
      <c r="D596" s="57" t="s">
        <v>45</v>
      </c>
      <c r="E596" s="29"/>
      <c r="F596" s="29"/>
      <c r="G596" s="43"/>
      <c r="H596" s="44"/>
      <c r="I596" s="31"/>
      <c r="J596" s="31"/>
      <c r="K596" s="31"/>
      <c r="L596" s="31"/>
      <c r="M596" s="31"/>
      <c r="N596" s="45"/>
      <c r="O596" s="31"/>
      <c r="P596" s="31"/>
      <c r="Q596" s="31"/>
      <c r="R596" s="45"/>
      <c r="S596" s="31"/>
    </row>
    <row r="597" spans="2:19" ht="15.75" x14ac:dyDescent="0.25">
      <c r="B597" s="34">
        <v>1</v>
      </c>
      <c r="C597" s="34" t="s">
        <v>901</v>
      </c>
      <c r="D597" s="35" t="s">
        <v>902</v>
      </c>
      <c r="E597" s="36">
        <v>42551</v>
      </c>
      <c r="F597" s="37">
        <v>58</v>
      </c>
      <c r="G597" s="38">
        <v>10</v>
      </c>
      <c r="H597" s="39">
        <f>+F597/G597</f>
        <v>5.8</v>
      </c>
      <c r="I597" s="37"/>
      <c r="J597" s="37"/>
      <c r="K597" s="37"/>
      <c r="L597" s="37"/>
      <c r="M597" s="37">
        <v>-10.803000000000001</v>
      </c>
      <c r="N597" s="39">
        <f>+M597-O597</f>
        <v>2.6999999999999247E-2</v>
      </c>
      <c r="O597" s="37">
        <v>-10.83</v>
      </c>
      <c r="P597" s="40">
        <v>0</v>
      </c>
      <c r="Q597" s="40">
        <v>0</v>
      </c>
      <c r="R597" s="41">
        <f>SUM(P597:Q597)</f>
        <v>0</v>
      </c>
      <c r="S597" s="42"/>
    </row>
    <row r="598" spans="2:19" ht="15.75" x14ac:dyDescent="0.25">
      <c r="B598" s="34">
        <f>+B597+1</f>
        <v>2</v>
      </c>
      <c r="C598" s="34" t="s">
        <v>903</v>
      </c>
      <c r="D598" s="35" t="s">
        <v>904</v>
      </c>
      <c r="E598" s="36">
        <v>42551</v>
      </c>
      <c r="F598" s="37">
        <v>214</v>
      </c>
      <c r="G598" s="38">
        <v>10</v>
      </c>
      <c r="H598" s="39">
        <f>+F598/G598</f>
        <v>21.4</v>
      </c>
      <c r="I598" s="37">
        <v>-1149.9770000000001</v>
      </c>
      <c r="J598" s="37">
        <v>387.10500000000002</v>
      </c>
      <c r="K598" s="37">
        <v>0</v>
      </c>
      <c r="L598" s="37">
        <v>24.19</v>
      </c>
      <c r="M598" s="37">
        <v>-67.680999999999997</v>
      </c>
      <c r="N598" s="39">
        <f>+M598-O598</f>
        <v>-2.8739999999999952</v>
      </c>
      <c r="O598" s="37">
        <v>-64.807000000000002</v>
      </c>
      <c r="P598" s="40">
        <v>0</v>
      </c>
      <c r="Q598" s="40">
        <v>0</v>
      </c>
      <c r="R598" s="41">
        <f>SUM(P598:Q598)</f>
        <v>0</v>
      </c>
      <c r="S598" s="42">
        <v>1156</v>
      </c>
    </row>
    <row r="599" spans="2:19" ht="15.75" x14ac:dyDescent="0.25">
      <c r="B599" s="34">
        <f>+B598+1</f>
        <v>3</v>
      </c>
      <c r="C599" s="34" t="s">
        <v>905</v>
      </c>
      <c r="D599" s="35" t="s">
        <v>906</v>
      </c>
      <c r="E599" s="36">
        <v>42551</v>
      </c>
      <c r="F599" s="37"/>
      <c r="G599" s="38">
        <v>10</v>
      </c>
      <c r="H599" s="39">
        <f>+F599/G599</f>
        <v>0</v>
      </c>
      <c r="I599" s="37"/>
      <c r="J599" s="37"/>
      <c r="K599" s="37"/>
      <c r="L599" s="37"/>
      <c r="M599" s="37"/>
      <c r="N599" s="39">
        <f>+M599-O599</f>
        <v>0</v>
      </c>
      <c r="O599" s="37"/>
      <c r="P599" s="40"/>
      <c r="Q599" s="40"/>
      <c r="R599" s="41">
        <f>SUM(P599:Q599)</f>
        <v>0</v>
      </c>
      <c r="S599" s="42"/>
    </row>
    <row r="600" spans="2:19" ht="15.75" x14ac:dyDescent="0.25">
      <c r="B600" s="29"/>
      <c r="C600" s="29"/>
      <c r="D600" s="29"/>
      <c r="E600" s="29"/>
      <c r="F600" s="29"/>
      <c r="G600" s="43"/>
      <c r="H600" s="44"/>
      <c r="I600" s="31"/>
      <c r="J600" s="31"/>
      <c r="K600" s="31"/>
      <c r="L600" s="31"/>
      <c r="M600" s="31"/>
      <c r="N600" s="45"/>
      <c r="O600" s="31"/>
      <c r="P600" s="31"/>
      <c r="Q600" s="31"/>
      <c r="R600" s="45"/>
      <c r="S600" s="31"/>
    </row>
    <row r="601" spans="2:19" ht="15.75" x14ac:dyDescent="0.25">
      <c r="B601" s="34">
        <f>COUNT(B588:B600)</f>
        <v>10</v>
      </c>
      <c r="C601" s="34"/>
      <c r="D601" s="48"/>
      <c r="E601" s="48"/>
      <c r="F601" s="48">
        <f>SUM(F588:F600)</f>
        <v>2553.89</v>
      </c>
      <c r="G601" s="49"/>
      <c r="H601" s="50">
        <f t="shared" ref="H601:O601" si="104">SUM(H588:H600)</f>
        <v>310.30400000000003</v>
      </c>
      <c r="I601" s="48">
        <f t="shared" si="104"/>
        <v>27334.823880000004</v>
      </c>
      <c r="J601" s="48">
        <f t="shared" si="104"/>
        <v>43493.118038000001</v>
      </c>
      <c r="K601" s="48">
        <f t="shared" si="104"/>
        <v>61818.903286999994</v>
      </c>
      <c r="L601" s="48">
        <f t="shared" si="104"/>
        <v>528.35431000000005</v>
      </c>
      <c r="M601" s="48">
        <f t="shared" si="104"/>
        <v>8022.8412450000005</v>
      </c>
      <c r="N601" s="51">
        <f t="shared" si="104"/>
        <v>2455.5172839999996</v>
      </c>
      <c r="O601" s="48">
        <f t="shared" si="104"/>
        <v>5567.323961000001</v>
      </c>
      <c r="P601" s="52"/>
      <c r="Q601" s="52"/>
      <c r="R601" s="53"/>
      <c r="S601" s="54">
        <f>SUM(S588:S600)</f>
        <v>16520</v>
      </c>
    </row>
    <row r="602" spans="2:19" ht="15.75" x14ac:dyDescent="0.25">
      <c r="B602" s="29"/>
      <c r="C602" s="29"/>
      <c r="D602" s="29"/>
      <c r="E602" s="29"/>
      <c r="F602" s="29"/>
      <c r="G602" s="43"/>
      <c r="H602" s="44"/>
      <c r="I602" s="31"/>
      <c r="J602" s="31"/>
      <c r="K602" s="31"/>
      <c r="L602" s="31"/>
      <c r="M602" s="31"/>
      <c r="N602" s="45"/>
      <c r="O602" s="31"/>
      <c r="P602" s="31"/>
      <c r="Q602" s="31"/>
      <c r="R602" s="45"/>
      <c r="S602" s="31"/>
    </row>
    <row r="603" spans="2:19" ht="15.75" x14ac:dyDescent="0.25">
      <c r="B603" s="29"/>
      <c r="C603" s="29"/>
      <c r="D603" s="29"/>
      <c r="E603" s="29"/>
      <c r="F603" s="29"/>
      <c r="G603" s="43"/>
      <c r="H603" s="44"/>
      <c r="I603" s="31"/>
      <c r="J603" s="31"/>
      <c r="K603" s="31"/>
      <c r="L603" s="31"/>
      <c r="M603" s="31"/>
      <c r="N603" s="45"/>
      <c r="O603" s="31"/>
      <c r="P603" s="31"/>
      <c r="Q603" s="31"/>
      <c r="R603" s="45"/>
      <c r="S603" s="31"/>
    </row>
    <row r="604" spans="2:19" ht="18.75" x14ac:dyDescent="0.3">
      <c r="B604" s="29"/>
      <c r="C604" s="33">
        <v>24</v>
      </c>
      <c r="D604" s="33" t="s">
        <v>907</v>
      </c>
      <c r="E604" s="61"/>
      <c r="F604" s="61"/>
      <c r="G604" s="43"/>
      <c r="H604" s="44"/>
      <c r="I604" s="31"/>
      <c r="J604" s="31"/>
      <c r="K604" s="31"/>
      <c r="L604" s="31"/>
      <c r="M604" s="31"/>
      <c r="N604" s="45"/>
      <c r="O604" s="31"/>
      <c r="P604" s="31"/>
      <c r="Q604" s="31"/>
      <c r="R604" s="45"/>
      <c r="S604" s="31"/>
    </row>
    <row r="605" spans="2:19" ht="15.75" x14ac:dyDescent="0.25">
      <c r="B605" s="29"/>
      <c r="C605" s="29"/>
      <c r="D605" s="29"/>
      <c r="E605" s="29"/>
      <c r="F605" s="29"/>
      <c r="G605" s="43"/>
      <c r="H605" s="44"/>
      <c r="I605" s="31"/>
      <c r="J605" s="31"/>
      <c r="K605" s="31"/>
      <c r="L605" s="31"/>
      <c r="M605" s="31"/>
      <c r="N605" s="45"/>
      <c r="O605" s="31"/>
      <c r="P605" s="31"/>
      <c r="Q605" s="31"/>
      <c r="R605" s="45"/>
      <c r="S605" s="31"/>
    </row>
    <row r="606" spans="2:19" ht="15.75" x14ac:dyDescent="0.25">
      <c r="B606" s="34">
        <v>1</v>
      </c>
      <c r="C606" s="34" t="s">
        <v>908</v>
      </c>
      <c r="D606" s="35" t="s">
        <v>909</v>
      </c>
      <c r="E606" s="36">
        <v>42551</v>
      </c>
      <c r="F606" s="37">
        <v>33.119999999999997</v>
      </c>
      <c r="G606" s="38">
        <v>10</v>
      </c>
      <c r="H606" s="39">
        <f t="shared" ref="H606:H613" si="105">+F606/G606</f>
        <v>3.3119999999999998</v>
      </c>
      <c r="I606" s="37">
        <v>43.966428000000001</v>
      </c>
      <c r="J606" s="37">
        <v>305.483069</v>
      </c>
      <c r="K606" s="37">
        <v>40.589182000000001</v>
      </c>
      <c r="L606" s="37">
        <v>3.5026000000000002E-2</v>
      </c>
      <c r="M606" s="37">
        <v>-24.823682000000002</v>
      </c>
      <c r="N606" s="39">
        <f t="shared" ref="N606:N613" si="106">+M606-O606</f>
        <v>0</v>
      </c>
      <c r="O606" s="37">
        <v>-24.823682000000002</v>
      </c>
      <c r="P606" s="40">
        <v>0</v>
      </c>
      <c r="Q606" s="40">
        <v>0</v>
      </c>
      <c r="R606" s="41">
        <f t="shared" ref="R606:R613" si="107">SUM(P606:Q606)</f>
        <v>0</v>
      </c>
      <c r="S606" s="42">
        <v>756</v>
      </c>
    </row>
    <row r="607" spans="2:19" ht="15.75" x14ac:dyDescent="0.25">
      <c r="B607" s="34">
        <f>+B606+1</f>
        <v>2</v>
      </c>
      <c r="C607" s="34" t="s">
        <v>910</v>
      </c>
      <c r="D607" s="35" t="s">
        <v>911</v>
      </c>
      <c r="E607" s="36">
        <v>42551</v>
      </c>
      <c r="F607" s="37">
        <v>350</v>
      </c>
      <c r="G607" s="38">
        <v>10</v>
      </c>
      <c r="H607" s="39">
        <f>+F607/G607</f>
        <v>35</v>
      </c>
      <c r="I607" s="37">
        <v>21.307805999999999</v>
      </c>
      <c r="J607" s="37">
        <v>2275.2002929999999</v>
      </c>
      <c r="K607" s="37">
        <v>1058.4465170000001</v>
      </c>
      <c r="L607" s="37">
        <v>78.291633000000004</v>
      </c>
      <c r="M607" s="37">
        <v>37.650551</v>
      </c>
      <c r="N607" s="39">
        <f>+M607-O607</f>
        <v>10.428091999999999</v>
      </c>
      <c r="O607" s="37">
        <v>27.222459000000001</v>
      </c>
      <c r="P607" s="40">
        <v>0</v>
      </c>
      <c r="Q607" s="40">
        <v>0</v>
      </c>
      <c r="R607" s="41">
        <f>SUM(P607:Q607)</f>
        <v>0</v>
      </c>
      <c r="S607" s="42">
        <v>694</v>
      </c>
    </row>
    <row r="608" spans="2:19" ht="15.75" x14ac:dyDescent="0.25">
      <c r="B608" s="34">
        <f t="shared" ref="B608:B613" si="108">+B607+1</f>
        <v>3</v>
      </c>
      <c r="C608" s="34" t="s">
        <v>912</v>
      </c>
      <c r="D608" s="35" t="s">
        <v>913</v>
      </c>
      <c r="E608" s="36">
        <v>42551</v>
      </c>
      <c r="F608" s="37">
        <v>54.5</v>
      </c>
      <c r="G608" s="38">
        <v>10</v>
      </c>
      <c r="H608" s="39">
        <f t="shared" si="105"/>
        <v>5.45</v>
      </c>
      <c r="I608" s="37">
        <v>-171.75399999999999</v>
      </c>
      <c r="J608" s="37">
        <v>260.43299999999999</v>
      </c>
      <c r="K608" s="37">
        <v>35.344999999999999</v>
      </c>
      <c r="L608" s="37">
        <v>5.1539999999999999</v>
      </c>
      <c r="M608" s="37">
        <v>-53.68</v>
      </c>
      <c r="N608" s="39">
        <f t="shared" si="106"/>
        <v>-0.8230000000000004</v>
      </c>
      <c r="O608" s="37">
        <v>-52.856999999999999</v>
      </c>
      <c r="P608" s="40">
        <v>0</v>
      </c>
      <c r="Q608" s="40">
        <v>0</v>
      </c>
      <c r="R608" s="41">
        <f t="shared" si="107"/>
        <v>0</v>
      </c>
      <c r="S608" s="42">
        <v>1107</v>
      </c>
    </row>
    <row r="609" spans="2:19" ht="15.75" x14ac:dyDescent="0.25">
      <c r="B609" s="34">
        <f t="shared" si="108"/>
        <v>4</v>
      </c>
      <c r="C609" s="55" t="s">
        <v>914</v>
      </c>
      <c r="D609" s="35" t="s">
        <v>915</v>
      </c>
      <c r="E609" s="36">
        <v>42735</v>
      </c>
      <c r="F609" s="37">
        <v>4976.8159999999998</v>
      </c>
      <c r="G609" s="38">
        <v>10</v>
      </c>
      <c r="H609" s="39">
        <f t="shared" si="105"/>
        <v>497.6816</v>
      </c>
      <c r="I609" s="37">
        <v>16490.785</v>
      </c>
      <c r="J609" s="37">
        <v>35128.214999999997</v>
      </c>
      <c r="K609" s="37">
        <v>20506.262999999999</v>
      </c>
      <c r="L609" s="37">
        <v>886.93600000000004</v>
      </c>
      <c r="M609" s="37">
        <v>1855.69</v>
      </c>
      <c r="N609" s="39">
        <f t="shared" si="106"/>
        <v>-95.202999999999975</v>
      </c>
      <c r="O609" s="37">
        <v>1950.893</v>
      </c>
      <c r="P609" s="40">
        <f>12.5+17.5</f>
        <v>30</v>
      </c>
      <c r="Q609" s="40">
        <v>0</v>
      </c>
      <c r="R609" s="41">
        <f t="shared" si="107"/>
        <v>30</v>
      </c>
      <c r="S609" s="42">
        <v>6668</v>
      </c>
    </row>
    <row r="610" spans="2:19" ht="15.75" x14ac:dyDescent="0.25">
      <c r="B610" s="34">
        <f t="shared" si="108"/>
        <v>5</v>
      </c>
      <c r="C610" s="34" t="s">
        <v>916</v>
      </c>
      <c r="D610" s="35" t="s">
        <v>917</v>
      </c>
      <c r="E610" s="36">
        <v>42551</v>
      </c>
      <c r="F610" s="37">
        <v>284.62299999999999</v>
      </c>
      <c r="G610" s="38">
        <v>10</v>
      </c>
      <c r="H610" s="39">
        <f t="shared" si="105"/>
        <v>28.462299999999999</v>
      </c>
      <c r="I610" s="37">
        <v>1866.7670000000001</v>
      </c>
      <c r="J610" s="37">
        <v>5075.5259999999998</v>
      </c>
      <c r="K610" s="37">
        <v>6849.5590000000002</v>
      </c>
      <c r="L610" s="37">
        <v>80.855999999999995</v>
      </c>
      <c r="M610" s="37">
        <v>407.185</v>
      </c>
      <c r="N610" s="39">
        <f t="shared" si="106"/>
        <v>142.90500000000003</v>
      </c>
      <c r="O610" s="37">
        <v>264.27999999999997</v>
      </c>
      <c r="P610" s="40">
        <f>45</f>
        <v>45</v>
      </c>
      <c r="Q610" s="40">
        <v>0</v>
      </c>
      <c r="R610" s="41">
        <f t="shared" si="107"/>
        <v>45</v>
      </c>
      <c r="S610" s="42">
        <v>1986</v>
      </c>
    </row>
    <row r="611" spans="2:19" ht="15.75" x14ac:dyDescent="0.25">
      <c r="B611" s="34">
        <f t="shared" si="108"/>
        <v>6</v>
      </c>
      <c r="C611" s="34" t="s">
        <v>918</v>
      </c>
      <c r="D611" s="35" t="s">
        <v>919</v>
      </c>
      <c r="E611" s="36">
        <v>42643</v>
      </c>
      <c r="F611" s="37">
        <v>82.47</v>
      </c>
      <c r="G611" s="38">
        <v>10</v>
      </c>
      <c r="H611" s="39">
        <f t="shared" si="105"/>
        <v>8.2469999999999999</v>
      </c>
      <c r="I611" s="37">
        <v>5231.4409999999998</v>
      </c>
      <c r="J611" s="37">
        <v>14738.727000000001</v>
      </c>
      <c r="K611" s="37">
        <v>10173.868</v>
      </c>
      <c r="L611" s="37">
        <v>27.968</v>
      </c>
      <c r="M611" s="37">
        <v>2381.1709999999998</v>
      </c>
      <c r="N611" s="39">
        <f t="shared" si="106"/>
        <v>277.2189999999996</v>
      </c>
      <c r="O611" s="37">
        <v>2103.9520000000002</v>
      </c>
      <c r="P611" s="40">
        <v>1200</v>
      </c>
      <c r="Q611" s="40">
        <v>0</v>
      </c>
      <c r="R611" s="41">
        <f t="shared" si="107"/>
        <v>1200</v>
      </c>
      <c r="S611" s="42">
        <v>1414</v>
      </c>
    </row>
    <row r="612" spans="2:19" ht="15.75" x14ac:dyDescent="0.25">
      <c r="B612" s="34">
        <f t="shared" si="108"/>
        <v>7</v>
      </c>
      <c r="C612" s="55" t="s">
        <v>920</v>
      </c>
      <c r="D612" s="35" t="s">
        <v>921</v>
      </c>
      <c r="E612" s="36">
        <v>42735</v>
      </c>
      <c r="F612" s="37">
        <v>454.05599999999998</v>
      </c>
      <c r="G612" s="38">
        <v>10</v>
      </c>
      <c r="H612" s="39">
        <f t="shared" si="105"/>
        <v>45.4056</v>
      </c>
      <c r="I612" s="37">
        <v>308.80399999999997</v>
      </c>
      <c r="J612" s="37">
        <v>3933.4870000000001</v>
      </c>
      <c r="K612" s="37">
        <v>1399.606</v>
      </c>
      <c r="L612" s="37">
        <v>141.79400000000001</v>
      </c>
      <c r="M612" s="37">
        <v>124.627</v>
      </c>
      <c r="N612" s="39">
        <f t="shared" si="106"/>
        <v>29.25</v>
      </c>
      <c r="O612" s="37">
        <v>95.376999999999995</v>
      </c>
      <c r="P612" s="40">
        <v>0</v>
      </c>
      <c r="Q612" s="40">
        <v>0</v>
      </c>
      <c r="R612" s="41">
        <f t="shared" si="107"/>
        <v>0</v>
      </c>
      <c r="S612" s="42">
        <v>1607</v>
      </c>
    </row>
    <row r="613" spans="2:19" ht="15.75" x14ac:dyDescent="0.25">
      <c r="B613" s="34">
        <f t="shared" si="108"/>
        <v>8</v>
      </c>
      <c r="C613" s="34" t="s">
        <v>922</v>
      </c>
      <c r="D613" s="35" t="s">
        <v>923</v>
      </c>
      <c r="E613" s="36">
        <v>42551</v>
      </c>
      <c r="F613" s="37">
        <v>2172.48963</v>
      </c>
      <c r="G613" s="38">
        <v>10</v>
      </c>
      <c r="H613" s="39">
        <f t="shared" si="105"/>
        <v>217.248963</v>
      </c>
      <c r="I613" s="37">
        <v>2944.1363310000002</v>
      </c>
      <c r="J613" s="37">
        <v>5046.1656800000001</v>
      </c>
      <c r="K613" s="37">
        <v>1537.1808080000001</v>
      </c>
      <c r="L613" s="37">
        <v>123.63489800000001</v>
      </c>
      <c r="M613" s="37">
        <v>124.456739</v>
      </c>
      <c r="N613" s="39">
        <f t="shared" si="106"/>
        <v>61.847532000000001</v>
      </c>
      <c r="O613" s="37">
        <v>62.609206999999998</v>
      </c>
      <c r="P613" s="40">
        <f>2.5</f>
        <v>2.5</v>
      </c>
      <c r="Q613" s="40">
        <v>0</v>
      </c>
      <c r="R613" s="41">
        <f t="shared" si="107"/>
        <v>2.5</v>
      </c>
      <c r="S613" s="42">
        <v>4191</v>
      </c>
    </row>
    <row r="614" spans="2:19" ht="15.75" x14ac:dyDescent="0.25">
      <c r="B614" s="29"/>
      <c r="C614" s="29"/>
      <c r="D614" s="29"/>
      <c r="E614" s="29"/>
      <c r="F614" s="29"/>
      <c r="G614" s="43"/>
      <c r="H614" s="44"/>
      <c r="I614" s="31"/>
      <c r="J614" s="31"/>
      <c r="K614" s="31"/>
      <c r="L614" s="31"/>
      <c r="M614" s="31"/>
      <c r="N614" s="45"/>
      <c r="O614" s="31"/>
      <c r="P614" s="31"/>
      <c r="Q614" s="31"/>
      <c r="R614" s="45"/>
      <c r="S614" s="31"/>
    </row>
    <row r="615" spans="2:19" ht="15.75" x14ac:dyDescent="0.25">
      <c r="B615" s="34">
        <f>COUNT(B606:B614)</f>
        <v>8</v>
      </c>
      <c r="C615" s="34"/>
      <c r="D615" s="48"/>
      <c r="E615" s="48"/>
      <c r="F615" s="48">
        <f>SUM(F606:F614)</f>
        <v>8408.0746299999992</v>
      </c>
      <c r="G615" s="49"/>
      <c r="H615" s="50">
        <f t="shared" ref="H615:O615" si="109">SUM(H606:H614)</f>
        <v>840.8074630000001</v>
      </c>
      <c r="I615" s="48">
        <f t="shared" si="109"/>
        <v>26735.453565</v>
      </c>
      <c r="J615" s="48">
        <f t="shared" si="109"/>
        <v>66763.237041999993</v>
      </c>
      <c r="K615" s="48">
        <f t="shared" si="109"/>
        <v>41600.857507000001</v>
      </c>
      <c r="L615" s="48">
        <f t="shared" si="109"/>
        <v>1344.6695570000002</v>
      </c>
      <c r="M615" s="48">
        <f t="shared" si="109"/>
        <v>4852.276608000001</v>
      </c>
      <c r="N615" s="51">
        <f t="shared" si="109"/>
        <v>425.62362399999967</v>
      </c>
      <c r="O615" s="48">
        <f t="shared" si="109"/>
        <v>4426.6529840000012</v>
      </c>
      <c r="P615" s="52"/>
      <c r="Q615" s="52"/>
      <c r="R615" s="53"/>
      <c r="S615" s="54">
        <f>SUM(S606:S614)</f>
        <v>18423</v>
      </c>
    </row>
    <row r="616" spans="2:19" ht="15.75" x14ac:dyDescent="0.25">
      <c r="B616" s="29"/>
      <c r="C616" s="29"/>
      <c r="D616" s="29"/>
      <c r="E616" s="29"/>
      <c r="F616" s="29"/>
      <c r="G616" s="43"/>
      <c r="H616" s="44"/>
      <c r="I616" s="31"/>
      <c r="J616" s="31"/>
      <c r="K616" s="31"/>
      <c r="L616" s="31"/>
      <c r="M616" s="31"/>
      <c r="N616" s="45"/>
      <c r="O616" s="31"/>
      <c r="P616" s="31"/>
      <c r="Q616" s="31"/>
      <c r="R616" s="45"/>
      <c r="S616" s="31"/>
    </row>
    <row r="617" spans="2:19" ht="15.75" x14ac:dyDescent="0.25">
      <c r="B617" s="29"/>
      <c r="C617" s="29"/>
      <c r="D617" s="29"/>
      <c r="E617" s="29"/>
      <c r="F617" s="29"/>
      <c r="G617" s="43"/>
      <c r="H617" s="44"/>
      <c r="I617" s="31"/>
      <c r="J617" s="31"/>
      <c r="K617" s="31"/>
      <c r="L617" s="31"/>
      <c r="M617" s="31"/>
      <c r="N617" s="45"/>
      <c r="O617" s="31"/>
      <c r="P617" s="31"/>
      <c r="Q617" s="31"/>
      <c r="R617" s="45"/>
      <c r="S617" s="31"/>
    </row>
    <row r="618" spans="2:19" ht="18.75" x14ac:dyDescent="0.3">
      <c r="B618" s="29"/>
      <c r="C618" s="33">
        <v>25</v>
      </c>
      <c r="D618" s="33" t="s">
        <v>924</v>
      </c>
      <c r="E618" s="61"/>
      <c r="F618" s="61"/>
      <c r="G618" s="43"/>
      <c r="H618" s="44"/>
      <c r="I618" s="31"/>
      <c r="J618" s="31"/>
      <c r="K618" s="31"/>
      <c r="L618" s="31"/>
      <c r="M618" s="31"/>
      <c r="N618" s="45"/>
      <c r="O618" s="31"/>
      <c r="P618" s="31"/>
      <c r="Q618" s="31"/>
      <c r="R618" s="45"/>
      <c r="S618" s="31"/>
    </row>
    <row r="619" spans="2:19" ht="15.75" x14ac:dyDescent="0.25">
      <c r="B619" s="29"/>
      <c r="C619" s="29"/>
      <c r="D619" s="29"/>
      <c r="E619" s="29"/>
      <c r="F619" s="29"/>
      <c r="G619" s="43"/>
      <c r="H619" s="44"/>
      <c r="I619" s="31"/>
      <c r="J619" s="31"/>
      <c r="K619" s="31"/>
      <c r="L619" s="31"/>
      <c r="M619" s="31"/>
      <c r="N619" s="45"/>
      <c r="O619" s="31"/>
      <c r="P619" s="31"/>
      <c r="Q619" s="31"/>
      <c r="R619" s="45"/>
      <c r="S619" s="31"/>
    </row>
    <row r="620" spans="2:19" ht="15.75" x14ac:dyDescent="0.25">
      <c r="B620" s="55">
        <v>1</v>
      </c>
      <c r="C620" s="55" t="s">
        <v>925</v>
      </c>
      <c r="D620" s="35" t="s">
        <v>926</v>
      </c>
      <c r="E620" s="36">
        <v>42735</v>
      </c>
      <c r="F620" s="37">
        <v>28772.174999999999</v>
      </c>
      <c r="G620" s="38">
        <v>10</v>
      </c>
      <c r="H620" s="39">
        <f>+F620/G620</f>
        <v>2877.2174999999997</v>
      </c>
      <c r="I620" s="37">
        <f>(28772.175+4432.287)-316738.17</f>
        <v>-283533.70799999998</v>
      </c>
      <c r="J620" s="37">
        <v>110076.874</v>
      </c>
      <c r="K620" s="37">
        <v>88997.379000000001</v>
      </c>
      <c r="L620" s="37">
        <v>13159.579</v>
      </c>
      <c r="M620" s="37">
        <v>-45276.444000000003</v>
      </c>
      <c r="N620" s="39">
        <f>+M620-O620</f>
        <v>104.59199999999691</v>
      </c>
      <c r="O620" s="37">
        <v>-45381.036</v>
      </c>
      <c r="P620" s="40">
        <v>0</v>
      </c>
      <c r="Q620" s="40">
        <v>0</v>
      </c>
      <c r="R620" s="41">
        <f>SUM(P620:Q620)</f>
        <v>0</v>
      </c>
      <c r="S620" s="42">
        <v>57169</v>
      </c>
    </row>
    <row r="621" spans="2:19" ht="15.75" x14ac:dyDescent="0.25">
      <c r="B621" s="55">
        <f>+B620+1</f>
        <v>2</v>
      </c>
      <c r="C621" s="34" t="s">
        <v>927</v>
      </c>
      <c r="D621" s="35" t="s">
        <v>928</v>
      </c>
      <c r="E621" s="36">
        <v>42551</v>
      </c>
      <c r="F621" s="37">
        <v>12706.793</v>
      </c>
      <c r="G621" s="38">
        <v>10</v>
      </c>
      <c r="H621" s="39">
        <f>+F621/G621</f>
        <v>1270.6793</v>
      </c>
      <c r="I621" s="37">
        <v>12776.921</v>
      </c>
      <c r="J621" s="37">
        <v>19298.268</v>
      </c>
      <c r="K621" s="37">
        <v>0</v>
      </c>
      <c r="L621" s="37">
        <v>0</v>
      </c>
      <c r="M621" s="37">
        <v>56.383000000000003</v>
      </c>
      <c r="N621" s="39">
        <f>+M621-O621</f>
        <v>21.323</v>
      </c>
      <c r="O621" s="37">
        <v>35.06</v>
      </c>
      <c r="P621" s="40">
        <v>0</v>
      </c>
      <c r="Q621" s="40">
        <v>0</v>
      </c>
      <c r="R621" s="41">
        <f>SUM(P621:Q621)</f>
        <v>0</v>
      </c>
      <c r="S621" s="42">
        <v>15590</v>
      </c>
    </row>
    <row r="622" spans="2:19" ht="15.75" x14ac:dyDescent="0.25">
      <c r="B622" s="55">
        <f>+B621+1</f>
        <v>3</v>
      </c>
      <c r="C622" s="34" t="s">
        <v>929</v>
      </c>
      <c r="D622" s="35" t="s">
        <v>930</v>
      </c>
      <c r="E622" s="36">
        <v>42735</v>
      </c>
      <c r="F622" s="37">
        <v>1091.5319999999999</v>
      </c>
      <c r="G622" s="38">
        <v>10</v>
      </c>
      <c r="H622" s="39">
        <f>+F622/G622</f>
        <v>109.1532</v>
      </c>
      <c r="I622" s="37">
        <v>2145.8820000000001</v>
      </c>
      <c r="J622" s="37">
        <v>4640.3900000000003</v>
      </c>
      <c r="K622" s="37">
        <v>9295.4740000000002</v>
      </c>
      <c r="L622" s="37">
        <v>46.942</v>
      </c>
      <c r="M622" s="37">
        <v>4137.1719999999996</v>
      </c>
      <c r="N622" s="39">
        <f>+M622-O622</f>
        <v>1388.5489999999995</v>
      </c>
      <c r="O622" s="37">
        <v>2748.623</v>
      </c>
      <c r="P622" s="40">
        <f>80+72+60+63</f>
        <v>275</v>
      </c>
      <c r="Q622" s="40">
        <v>0</v>
      </c>
      <c r="R622" s="41">
        <f>SUM(P622:Q622)</f>
        <v>275</v>
      </c>
      <c r="S622" s="42">
        <v>2234</v>
      </c>
    </row>
    <row r="623" spans="2:19" ht="15.75" x14ac:dyDescent="0.25">
      <c r="B623" s="55">
        <f>+B622+1</f>
        <v>4</v>
      </c>
      <c r="C623" s="34" t="s">
        <v>931</v>
      </c>
      <c r="D623" s="35" t="s">
        <v>932</v>
      </c>
      <c r="E623" s="36">
        <v>42551</v>
      </c>
      <c r="F623" s="37">
        <v>1320.634</v>
      </c>
      <c r="G623" s="38">
        <v>10</v>
      </c>
      <c r="H623" s="39">
        <f>+F623/G623</f>
        <v>132.0634</v>
      </c>
      <c r="I623" s="37">
        <v>7951.0770000000002</v>
      </c>
      <c r="J623" s="37">
        <v>41532.485000000001</v>
      </c>
      <c r="K623" s="37">
        <v>5806.5879999999997</v>
      </c>
      <c r="L623" s="37">
        <v>555.02800000000002</v>
      </c>
      <c r="M623" s="37">
        <v>35.959000000000003</v>
      </c>
      <c r="N623" s="39">
        <f>+M623-O623</f>
        <v>152.70600000000002</v>
      </c>
      <c r="O623" s="37">
        <v>-116.747</v>
      </c>
      <c r="P623" s="40">
        <f>20</f>
        <v>20</v>
      </c>
      <c r="Q623" s="40">
        <v>0</v>
      </c>
      <c r="R623" s="41">
        <f>SUM(P623:Q623)</f>
        <v>20</v>
      </c>
      <c r="S623" s="42">
        <v>15972</v>
      </c>
    </row>
    <row r="624" spans="2:19" ht="15.75" x14ac:dyDescent="0.25">
      <c r="B624" s="29"/>
      <c r="C624" s="29"/>
      <c r="D624" s="29"/>
      <c r="E624" s="29"/>
      <c r="F624" s="29"/>
      <c r="G624" s="43"/>
      <c r="H624" s="44"/>
      <c r="I624" s="31"/>
      <c r="J624" s="31"/>
      <c r="K624" s="31"/>
      <c r="L624" s="31"/>
      <c r="M624" s="31"/>
      <c r="N624" s="45"/>
      <c r="O624" s="31"/>
      <c r="P624" s="31"/>
      <c r="Q624" s="31"/>
      <c r="R624" s="45"/>
      <c r="S624" s="31"/>
    </row>
    <row r="625" spans="2:19" ht="15.75" x14ac:dyDescent="0.25">
      <c r="B625" s="34">
        <f>COUNT(B620:B624)</f>
        <v>4</v>
      </c>
      <c r="C625" s="34"/>
      <c r="D625" s="48"/>
      <c r="E625" s="48"/>
      <c r="F625" s="48">
        <f>SUM(F620:F624)</f>
        <v>43891.133999999998</v>
      </c>
      <c r="G625" s="49"/>
      <c r="H625" s="50">
        <f t="shared" ref="H625:O625" si="110">SUM(H620:H624)</f>
        <v>4389.1133999999993</v>
      </c>
      <c r="I625" s="48">
        <f t="shared" si="110"/>
        <v>-260659.82800000004</v>
      </c>
      <c r="J625" s="48">
        <f t="shared" si="110"/>
        <v>175548.01699999999</v>
      </c>
      <c r="K625" s="48">
        <f t="shared" si="110"/>
        <v>104099.44100000001</v>
      </c>
      <c r="L625" s="48">
        <f t="shared" si="110"/>
        <v>13761.548999999999</v>
      </c>
      <c r="M625" s="48">
        <f t="shared" si="110"/>
        <v>-41046.93</v>
      </c>
      <c r="N625" s="51">
        <f t="shared" si="110"/>
        <v>1667.1699999999964</v>
      </c>
      <c r="O625" s="48">
        <f t="shared" si="110"/>
        <v>-42714.100000000006</v>
      </c>
      <c r="P625" s="52"/>
      <c r="Q625" s="52"/>
      <c r="R625" s="53"/>
      <c r="S625" s="54">
        <f>SUM(S620:S624)</f>
        <v>90965</v>
      </c>
    </row>
    <row r="626" spans="2:19" ht="15.75" x14ac:dyDescent="0.25">
      <c r="B626" s="29"/>
      <c r="C626" s="29"/>
      <c r="D626" s="29"/>
      <c r="E626" s="29"/>
      <c r="F626" s="29"/>
      <c r="G626" s="43"/>
      <c r="H626" s="44"/>
      <c r="I626" s="31"/>
      <c r="J626" s="31"/>
      <c r="K626" s="31"/>
      <c r="L626" s="31"/>
      <c r="M626" s="31"/>
      <c r="N626" s="45"/>
      <c r="O626" s="31"/>
      <c r="P626" s="31"/>
      <c r="Q626" s="31"/>
      <c r="R626" s="45"/>
      <c r="S626" s="31"/>
    </row>
    <row r="627" spans="2:19" ht="15.75" x14ac:dyDescent="0.25">
      <c r="B627" s="29"/>
      <c r="C627" s="29"/>
      <c r="D627" s="29"/>
      <c r="E627" s="29"/>
      <c r="F627" s="29"/>
      <c r="G627" s="43"/>
      <c r="H627" s="44"/>
      <c r="I627" s="31"/>
      <c r="J627" s="31"/>
      <c r="K627" s="31"/>
      <c r="L627" s="31"/>
      <c r="M627" s="31"/>
      <c r="N627" s="45"/>
      <c r="O627" s="31"/>
      <c r="P627" s="31"/>
      <c r="Q627" s="31"/>
      <c r="R627" s="45"/>
      <c r="S627" s="31"/>
    </row>
    <row r="628" spans="2:19" ht="18.75" x14ac:dyDescent="0.3">
      <c r="B628" s="29"/>
      <c r="C628" s="33">
        <v>26</v>
      </c>
      <c r="D628" s="33" t="s">
        <v>933</v>
      </c>
      <c r="E628" s="61"/>
      <c r="F628" s="61"/>
      <c r="G628" s="43"/>
      <c r="H628" s="44"/>
      <c r="I628" s="31"/>
      <c r="J628" s="31"/>
      <c r="K628" s="31"/>
      <c r="L628" s="31"/>
      <c r="M628" s="31"/>
      <c r="N628" s="45"/>
      <c r="O628" s="31"/>
      <c r="P628" s="31"/>
      <c r="Q628" s="31"/>
      <c r="R628" s="45"/>
      <c r="S628" s="31"/>
    </row>
    <row r="629" spans="2:19" ht="15.75" x14ac:dyDescent="0.25">
      <c r="B629" s="29"/>
      <c r="C629" s="29"/>
      <c r="D629" s="29"/>
      <c r="E629" s="29"/>
      <c r="F629" s="29"/>
      <c r="G629" s="43"/>
      <c r="H629" s="44"/>
      <c r="I629" s="31"/>
      <c r="J629" s="31"/>
      <c r="K629" s="31"/>
      <c r="L629" s="31"/>
      <c r="M629" s="31"/>
      <c r="N629" s="45"/>
      <c r="O629" s="31"/>
      <c r="P629" s="31"/>
      <c r="Q629" s="31"/>
      <c r="R629" s="45"/>
      <c r="S629" s="31"/>
    </row>
    <row r="630" spans="2:19" ht="15.75" x14ac:dyDescent="0.25">
      <c r="B630" s="34">
        <v>1</v>
      </c>
      <c r="C630" s="34" t="s">
        <v>934</v>
      </c>
      <c r="D630" s="35" t="s">
        <v>935</v>
      </c>
      <c r="E630" s="36">
        <v>42735</v>
      </c>
      <c r="F630" s="37">
        <v>1056.9690000000001</v>
      </c>
      <c r="G630" s="38">
        <v>10</v>
      </c>
      <c r="H630" s="39">
        <f t="shared" ref="H630:H639" si="111">+F630/G630</f>
        <v>105.6969</v>
      </c>
      <c r="I630" s="37">
        <v>1998.4690000000001</v>
      </c>
      <c r="J630" s="37">
        <v>2952.8270000000002</v>
      </c>
      <c r="K630" s="37">
        <v>903.01400000000001</v>
      </c>
      <c r="L630" s="37">
        <v>18.074999999999999</v>
      </c>
      <c r="M630" s="37">
        <v>367.274</v>
      </c>
      <c r="N630" s="39">
        <f t="shared" ref="N630:N639" si="112">+M630-O630</f>
        <v>54.23599999999999</v>
      </c>
      <c r="O630" s="37">
        <v>313.03800000000001</v>
      </c>
      <c r="P630" s="40">
        <v>10</v>
      </c>
      <c r="Q630" s="40">
        <v>25</v>
      </c>
      <c r="R630" s="41">
        <f t="shared" ref="R630:R639" si="113">SUM(P630:Q630)</f>
        <v>35</v>
      </c>
      <c r="S630" s="42">
        <v>2946</v>
      </c>
    </row>
    <row r="631" spans="2:19" ht="15.75" x14ac:dyDescent="0.25">
      <c r="B631" s="34">
        <f>+B630+1</f>
        <v>2</v>
      </c>
      <c r="C631" s="34" t="s">
        <v>936</v>
      </c>
      <c r="D631" s="35" t="s">
        <v>937</v>
      </c>
      <c r="E631" s="36">
        <v>42551</v>
      </c>
      <c r="F631" s="37">
        <v>945</v>
      </c>
      <c r="G631" s="38">
        <v>1</v>
      </c>
      <c r="H631" s="39">
        <f t="shared" si="111"/>
        <v>945</v>
      </c>
      <c r="I631" s="37">
        <v>2042.6274619999999</v>
      </c>
      <c r="J631" s="37">
        <v>3272.2243880000001</v>
      </c>
      <c r="K631" s="37">
        <v>3942.8244599999998</v>
      </c>
      <c r="L631" s="37">
        <v>40.020307000000003</v>
      </c>
      <c r="M631" s="37">
        <v>773.23729100000003</v>
      </c>
      <c r="N631" s="39">
        <f t="shared" si="112"/>
        <v>236.30136500000003</v>
      </c>
      <c r="O631" s="37">
        <v>536.93592599999999</v>
      </c>
      <c r="P631" s="40">
        <v>0</v>
      </c>
      <c r="Q631" s="40">
        <v>0</v>
      </c>
      <c r="R631" s="41">
        <f t="shared" si="113"/>
        <v>0</v>
      </c>
      <c r="S631" s="42">
        <v>3028</v>
      </c>
    </row>
    <row r="632" spans="2:19" ht="15.75" x14ac:dyDescent="0.25">
      <c r="B632" s="34">
        <f t="shared" ref="B632:B639" si="114">+B631+1</f>
        <v>3</v>
      </c>
      <c r="C632" s="34" t="s">
        <v>938</v>
      </c>
      <c r="D632" s="35" t="s">
        <v>939</v>
      </c>
      <c r="E632" s="36">
        <v>42551</v>
      </c>
      <c r="F632" s="37">
        <v>1788.5101</v>
      </c>
      <c r="G632" s="38">
        <v>10</v>
      </c>
      <c r="H632" s="39">
        <f t="shared" si="111"/>
        <v>178.85101</v>
      </c>
      <c r="I632" s="37">
        <v>-169.50514999999999</v>
      </c>
      <c r="J632" s="37">
        <v>682.44143399999996</v>
      </c>
      <c r="K632" s="37">
        <v>377.892177</v>
      </c>
      <c r="L632" s="37">
        <v>19.826834000000002</v>
      </c>
      <c r="M632" s="37">
        <v>-144.04506599999999</v>
      </c>
      <c r="N632" s="39">
        <f t="shared" si="112"/>
        <v>4.3189680000000124</v>
      </c>
      <c r="O632" s="37">
        <v>-148.364034</v>
      </c>
      <c r="P632" s="40">
        <v>0</v>
      </c>
      <c r="Q632" s="40">
        <v>0</v>
      </c>
      <c r="R632" s="41">
        <f t="shared" si="113"/>
        <v>0</v>
      </c>
      <c r="S632" s="42">
        <v>2281</v>
      </c>
    </row>
    <row r="633" spans="2:19" ht="15.75" x14ac:dyDescent="0.25">
      <c r="B633" s="34">
        <f t="shared" si="114"/>
        <v>4</v>
      </c>
      <c r="C633" s="34" t="s">
        <v>940</v>
      </c>
      <c r="D633" s="35" t="s">
        <v>941</v>
      </c>
      <c r="E633" s="36">
        <v>42551</v>
      </c>
      <c r="F633" s="37">
        <v>891.54399999999998</v>
      </c>
      <c r="G633" s="38">
        <v>10</v>
      </c>
      <c r="H633" s="39">
        <f t="shared" si="111"/>
        <v>89.154399999999995</v>
      </c>
      <c r="I633" s="37">
        <v>5336.4160000000002</v>
      </c>
      <c r="J633" s="37">
        <v>6606.1930000000002</v>
      </c>
      <c r="K633" s="37">
        <v>3215.8110000000001</v>
      </c>
      <c r="L633" s="37">
        <v>22.934000000000001</v>
      </c>
      <c r="M633" s="37">
        <v>89.944999999999993</v>
      </c>
      <c r="N633" s="39">
        <f t="shared" si="112"/>
        <v>37.742999999999995</v>
      </c>
      <c r="O633" s="37">
        <v>52.201999999999998</v>
      </c>
      <c r="P633" s="40">
        <f>5</f>
        <v>5</v>
      </c>
      <c r="Q633" s="40">
        <v>0</v>
      </c>
      <c r="R633" s="41">
        <f t="shared" si="113"/>
        <v>5</v>
      </c>
      <c r="S633" s="42">
        <v>2721</v>
      </c>
    </row>
    <row r="634" spans="2:19" ht="15.75" x14ac:dyDescent="0.25">
      <c r="B634" s="34">
        <f t="shared" si="114"/>
        <v>5</v>
      </c>
      <c r="C634" s="55" t="s">
        <v>942</v>
      </c>
      <c r="D634" s="35" t="s">
        <v>943</v>
      </c>
      <c r="E634" s="36">
        <v>42551</v>
      </c>
      <c r="F634" s="37">
        <v>98.01</v>
      </c>
      <c r="G634" s="38">
        <v>10</v>
      </c>
      <c r="H634" s="39">
        <f t="shared" si="111"/>
        <v>9.8010000000000002</v>
      </c>
      <c r="I634" s="37">
        <v>810.27182200000004</v>
      </c>
      <c r="J634" s="37">
        <v>1101.9029929999999</v>
      </c>
      <c r="K634" s="37">
        <v>654.60320400000001</v>
      </c>
      <c r="L634" s="37">
        <v>0.71746500000000002</v>
      </c>
      <c r="M634" s="37">
        <v>54.579143999999999</v>
      </c>
      <c r="N634" s="39">
        <f t="shared" si="112"/>
        <v>17.482785</v>
      </c>
      <c r="O634" s="37">
        <v>37.096359</v>
      </c>
      <c r="P634" s="40">
        <f>12.5+30</f>
        <v>42.5</v>
      </c>
      <c r="Q634" s="40">
        <v>0</v>
      </c>
      <c r="R634" s="41">
        <f t="shared" si="113"/>
        <v>42.5</v>
      </c>
      <c r="S634" s="42">
        <v>1927</v>
      </c>
    </row>
    <row r="635" spans="2:19" ht="15.75" x14ac:dyDescent="0.25">
      <c r="B635" s="34">
        <f t="shared" si="114"/>
        <v>6</v>
      </c>
      <c r="C635" s="55" t="s">
        <v>944</v>
      </c>
      <c r="D635" s="35" t="s">
        <v>945</v>
      </c>
      <c r="E635" s="36">
        <v>42735</v>
      </c>
      <c r="F635" s="37">
        <v>51000</v>
      </c>
      <c r="G635" s="38">
        <v>10</v>
      </c>
      <c r="H635" s="39">
        <f t="shared" si="111"/>
        <v>5100</v>
      </c>
      <c r="I635" s="37">
        <v>83013.099000000002</v>
      </c>
      <c r="J635" s="37">
        <v>180109.24799999999</v>
      </c>
      <c r="K635" s="37">
        <v>71420.100000000006</v>
      </c>
      <c r="L635" s="37">
        <v>193.708</v>
      </c>
      <c r="M635" s="37">
        <v>10200.797</v>
      </c>
      <c r="N635" s="39">
        <f t="shared" si="112"/>
        <v>3366.2630000000008</v>
      </c>
      <c r="O635" s="37">
        <v>6834.5339999999997</v>
      </c>
      <c r="P635" s="40">
        <f>10</f>
        <v>10</v>
      </c>
      <c r="Q635" s="40">
        <v>0</v>
      </c>
      <c r="R635" s="41">
        <f t="shared" si="113"/>
        <v>10</v>
      </c>
      <c r="S635" s="42">
        <v>43549</v>
      </c>
    </row>
    <row r="636" spans="2:19" ht="15.75" x14ac:dyDescent="0.25">
      <c r="B636" s="34">
        <f t="shared" si="114"/>
        <v>7</v>
      </c>
      <c r="C636" s="55" t="s">
        <v>946</v>
      </c>
      <c r="D636" s="35" t="s">
        <v>947</v>
      </c>
      <c r="E636" s="36">
        <v>42735</v>
      </c>
      <c r="F636" s="37">
        <v>1110.7849200000001</v>
      </c>
      <c r="G636" s="38">
        <v>10</v>
      </c>
      <c r="H636" s="39">
        <f t="shared" si="111"/>
        <v>111.07849200000001</v>
      </c>
      <c r="I636" s="37">
        <v>2916.3686029999999</v>
      </c>
      <c r="J636" s="37">
        <v>3174.4658030000001</v>
      </c>
      <c r="K636" s="37">
        <v>2680.323531</v>
      </c>
      <c r="L636" s="37">
        <v>3.2130879999999999</v>
      </c>
      <c r="M636" s="37">
        <v>505.91999399999997</v>
      </c>
      <c r="N636" s="39">
        <f t="shared" si="112"/>
        <v>-9.1599519999999757</v>
      </c>
      <c r="O636" s="37">
        <v>515.07994599999995</v>
      </c>
      <c r="P636" s="40">
        <v>18.600000000000001</v>
      </c>
      <c r="Q636" s="40">
        <v>0</v>
      </c>
      <c r="R636" s="41">
        <f t="shared" si="113"/>
        <v>18.600000000000001</v>
      </c>
      <c r="S636" s="42">
        <v>2610</v>
      </c>
    </row>
    <row r="637" spans="2:19" ht="15.75" x14ac:dyDescent="0.25">
      <c r="B637" s="34">
        <f t="shared" si="114"/>
        <v>8</v>
      </c>
      <c r="C637" s="55" t="s">
        <v>948</v>
      </c>
      <c r="D637" s="35" t="s">
        <v>949</v>
      </c>
      <c r="E637" s="36">
        <v>42551</v>
      </c>
      <c r="F637" s="37">
        <v>3000</v>
      </c>
      <c r="G637" s="38">
        <v>10</v>
      </c>
      <c r="H637" s="39">
        <f t="shared" si="111"/>
        <v>300</v>
      </c>
      <c r="I637" s="37">
        <v>2460.3620000000001</v>
      </c>
      <c r="J637" s="37">
        <v>6655.1779999999999</v>
      </c>
      <c r="K637" s="37">
        <v>1004.902</v>
      </c>
      <c r="L637" s="37">
        <v>50.320999999999998</v>
      </c>
      <c r="M637" s="37">
        <v>141.721</v>
      </c>
      <c r="N637" s="39">
        <f t="shared" si="112"/>
        <v>91.615000000000009</v>
      </c>
      <c r="O637" s="37">
        <v>50.106000000000002</v>
      </c>
      <c r="P637" s="40">
        <v>0</v>
      </c>
      <c r="Q637" s="40">
        <v>0</v>
      </c>
      <c r="R637" s="41">
        <f t="shared" si="113"/>
        <v>0</v>
      </c>
      <c r="S637" s="42">
        <v>5444</v>
      </c>
    </row>
    <row r="638" spans="2:19" ht="15.75" x14ac:dyDescent="0.25">
      <c r="B638" s="34">
        <f t="shared" si="114"/>
        <v>9</v>
      </c>
      <c r="C638" s="34" t="s">
        <v>950</v>
      </c>
      <c r="D638" s="35" t="s">
        <v>951</v>
      </c>
      <c r="E638" s="36">
        <v>42551</v>
      </c>
      <c r="F638" s="37">
        <v>5453.9070000000002</v>
      </c>
      <c r="G638" s="38">
        <v>10</v>
      </c>
      <c r="H638" s="39">
        <f t="shared" si="111"/>
        <v>545.39070000000004</v>
      </c>
      <c r="I638" s="37">
        <v>12353.686</v>
      </c>
      <c r="J638" s="37">
        <v>14541.338</v>
      </c>
      <c r="K638" s="37">
        <v>167.73500000000001</v>
      </c>
      <c r="L638" s="37">
        <v>12.794</v>
      </c>
      <c r="M638" s="37">
        <v>109.05</v>
      </c>
      <c r="N638" s="39">
        <f t="shared" si="112"/>
        <v>11.887999999999991</v>
      </c>
      <c r="O638" s="37">
        <v>97.162000000000006</v>
      </c>
      <c r="P638" s="40">
        <v>0</v>
      </c>
      <c r="Q638" s="40">
        <v>0</v>
      </c>
      <c r="R638" s="41">
        <f t="shared" si="113"/>
        <v>0</v>
      </c>
      <c r="S638" s="42">
        <v>7184</v>
      </c>
    </row>
    <row r="639" spans="2:19" ht="15.75" x14ac:dyDescent="0.25">
      <c r="B639" s="34">
        <f t="shared" si="114"/>
        <v>10</v>
      </c>
      <c r="C639" s="55" t="s">
        <v>952</v>
      </c>
      <c r="D639" s="35" t="s">
        <v>953</v>
      </c>
      <c r="E639" s="36">
        <v>42735</v>
      </c>
      <c r="F639" s="37">
        <v>8605.7160000000003</v>
      </c>
      <c r="G639" s="38">
        <v>10</v>
      </c>
      <c r="H639" s="39">
        <f t="shared" si="111"/>
        <v>860.57159999999999</v>
      </c>
      <c r="I639" s="37">
        <v>-5558.4390000000003</v>
      </c>
      <c r="J639" s="37">
        <v>15763.217000000001</v>
      </c>
      <c r="K639" s="37">
        <v>1819.7059999999999</v>
      </c>
      <c r="L639" s="37">
        <v>566.32899999999995</v>
      </c>
      <c r="M639" s="37">
        <v>-2563.81</v>
      </c>
      <c r="N639" s="39">
        <f t="shared" si="112"/>
        <v>-1299.0739999999998</v>
      </c>
      <c r="O639" s="37">
        <v>-1264.7360000000001</v>
      </c>
      <c r="P639" s="40">
        <v>0</v>
      </c>
      <c r="Q639" s="40">
        <v>0</v>
      </c>
      <c r="R639" s="41">
        <f t="shared" si="113"/>
        <v>0</v>
      </c>
      <c r="S639" s="42">
        <v>11937</v>
      </c>
    </row>
    <row r="640" spans="2:19" ht="15.75" x14ac:dyDescent="0.25">
      <c r="B640" s="29"/>
      <c r="C640" s="29"/>
      <c r="D640" s="29"/>
      <c r="E640" s="29"/>
      <c r="F640" s="29"/>
      <c r="G640" s="43"/>
      <c r="H640" s="44"/>
      <c r="I640" s="31"/>
      <c r="J640" s="31"/>
      <c r="K640" s="31"/>
      <c r="L640" s="31"/>
      <c r="M640" s="31"/>
      <c r="N640" s="45"/>
      <c r="O640" s="31"/>
      <c r="P640" s="31"/>
      <c r="Q640" s="31"/>
      <c r="R640" s="45"/>
      <c r="S640" s="31"/>
    </row>
    <row r="641" spans="2:19" ht="15.75" x14ac:dyDescent="0.25">
      <c r="B641" s="34">
        <f>COUNT(B630:B640)</f>
        <v>10</v>
      </c>
      <c r="C641" s="34"/>
      <c r="D641" s="48"/>
      <c r="E641" s="48"/>
      <c r="F641" s="48">
        <f>SUM(F630:F640)</f>
        <v>73950.441019999998</v>
      </c>
      <c r="G641" s="49"/>
      <c r="H641" s="50">
        <f t="shared" ref="H641:O641" si="115">SUM(H630:H640)</f>
        <v>8245.5441019999998</v>
      </c>
      <c r="I641" s="48">
        <f t="shared" si="115"/>
        <v>105203.35573699999</v>
      </c>
      <c r="J641" s="48">
        <f t="shared" si="115"/>
        <v>234859.03561799997</v>
      </c>
      <c r="K641" s="48">
        <f t="shared" si="115"/>
        <v>86186.911372000017</v>
      </c>
      <c r="L641" s="48">
        <f t="shared" si="115"/>
        <v>927.93869399999994</v>
      </c>
      <c r="M641" s="48">
        <f t="shared" si="115"/>
        <v>9534.6683630000007</v>
      </c>
      <c r="N641" s="51">
        <f t="shared" si="115"/>
        <v>2511.6141660000012</v>
      </c>
      <c r="O641" s="48">
        <f t="shared" si="115"/>
        <v>7023.0541969999986</v>
      </c>
      <c r="P641" s="52"/>
      <c r="Q641" s="52"/>
      <c r="R641" s="53"/>
      <c r="S641" s="54">
        <f>SUM(S630:S640)</f>
        <v>83627</v>
      </c>
    </row>
    <row r="642" spans="2:19" ht="15.75" x14ac:dyDescent="0.25">
      <c r="B642" s="29"/>
      <c r="C642" s="29"/>
      <c r="D642" s="29"/>
      <c r="E642" s="29"/>
      <c r="F642" s="29"/>
      <c r="G642" s="43"/>
      <c r="H642" s="44"/>
      <c r="I642" s="31"/>
      <c r="J642" s="31"/>
      <c r="K642" s="31"/>
      <c r="L642" s="31"/>
      <c r="M642" s="31"/>
      <c r="N642" s="45"/>
      <c r="O642" s="31"/>
      <c r="P642" s="31"/>
      <c r="Q642" s="31"/>
      <c r="R642" s="45"/>
      <c r="S642" s="31"/>
    </row>
    <row r="643" spans="2:19" ht="15.75" x14ac:dyDescent="0.25">
      <c r="B643" s="29"/>
      <c r="C643" s="29"/>
      <c r="D643" s="29"/>
      <c r="E643" s="29"/>
      <c r="F643" s="29"/>
      <c r="G643" s="43"/>
      <c r="H643" s="44"/>
      <c r="I643" s="31"/>
      <c r="J643" s="31"/>
      <c r="K643" s="31"/>
      <c r="L643" s="31"/>
      <c r="M643" s="31"/>
      <c r="N643" s="45"/>
      <c r="O643" s="31"/>
      <c r="P643" s="31"/>
      <c r="Q643" s="31"/>
      <c r="R643" s="45"/>
      <c r="S643" s="31"/>
    </row>
    <row r="644" spans="2:19" ht="18.75" x14ac:dyDescent="0.3">
      <c r="B644" s="29"/>
      <c r="C644" s="33">
        <v>27</v>
      </c>
      <c r="D644" s="33" t="s">
        <v>954</v>
      </c>
      <c r="E644" s="61"/>
      <c r="F644" s="61"/>
      <c r="G644" s="43"/>
      <c r="H644" s="44"/>
      <c r="I644" s="31"/>
      <c r="J644" s="31"/>
      <c r="K644" s="31"/>
      <c r="L644" s="31"/>
      <c r="M644" s="31"/>
      <c r="N644" s="45"/>
      <c r="O644" s="31"/>
      <c r="P644" s="31"/>
      <c r="Q644" s="31"/>
      <c r="R644" s="45"/>
      <c r="S644" s="31"/>
    </row>
    <row r="645" spans="2:19" ht="15.75" x14ac:dyDescent="0.25">
      <c r="B645" s="29"/>
      <c r="C645" s="29"/>
      <c r="D645" s="29"/>
      <c r="E645" s="29"/>
      <c r="F645" s="29"/>
      <c r="G645" s="43"/>
      <c r="H645" s="44"/>
      <c r="I645" s="31"/>
      <c r="J645" s="31"/>
      <c r="K645" s="31"/>
      <c r="L645" s="31"/>
      <c r="M645" s="31"/>
      <c r="N645" s="45"/>
      <c r="O645" s="31"/>
      <c r="P645" s="31"/>
      <c r="Q645" s="31"/>
      <c r="R645" s="45"/>
      <c r="S645" s="31"/>
    </row>
    <row r="646" spans="2:19" ht="15.75" x14ac:dyDescent="0.25">
      <c r="B646" s="55">
        <v>1</v>
      </c>
      <c r="C646" s="55" t="s">
        <v>955</v>
      </c>
      <c r="D646" s="35" t="s">
        <v>956</v>
      </c>
      <c r="E646" s="36">
        <v>42551</v>
      </c>
      <c r="F646" s="37">
        <v>4537.5</v>
      </c>
      <c r="G646" s="38">
        <v>10</v>
      </c>
      <c r="H646" s="39">
        <f t="shared" ref="H646:H652" si="116">+F646/G646</f>
        <v>453.75</v>
      </c>
      <c r="I646" s="37">
        <v>29063.030636</v>
      </c>
      <c r="J646" s="37">
        <v>36764.442757999997</v>
      </c>
      <c r="K646" s="37">
        <v>1979.374157</v>
      </c>
      <c r="L646" s="37">
        <v>277.66840999999999</v>
      </c>
      <c r="M646" s="37">
        <v>1568.346119</v>
      </c>
      <c r="N646" s="39">
        <f t="shared" ref="N646:N652" si="117">+M646-O646</f>
        <v>287.22213099999999</v>
      </c>
      <c r="O646" s="37">
        <v>1281.1239880000001</v>
      </c>
      <c r="P646" s="40">
        <f>25</f>
        <v>25</v>
      </c>
      <c r="Q646" s="40">
        <v>0</v>
      </c>
      <c r="R646" s="41">
        <f t="shared" ref="R646:R652" si="118">SUM(P646:Q646)</f>
        <v>25</v>
      </c>
      <c r="S646" s="42">
        <v>5260</v>
      </c>
    </row>
    <row r="647" spans="2:19" ht="15.75" x14ac:dyDescent="0.25">
      <c r="B647" s="55">
        <f t="shared" ref="B647:B652" si="119">+B646+1</f>
        <v>2</v>
      </c>
      <c r="C647" s="55" t="s">
        <v>957</v>
      </c>
      <c r="D647" s="35" t="s">
        <v>958</v>
      </c>
      <c r="E647" s="36">
        <v>42735</v>
      </c>
      <c r="F647" s="37">
        <v>4812.8710000000001</v>
      </c>
      <c r="G647" s="38">
        <v>10</v>
      </c>
      <c r="H647" s="39">
        <f t="shared" si="116"/>
        <v>481.28710000000001</v>
      </c>
      <c r="I647" s="37">
        <v>30838.856</v>
      </c>
      <c r="J647" s="37">
        <v>37950.413</v>
      </c>
      <c r="K647" s="37">
        <v>7435.43</v>
      </c>
      <c r="L647" s="37">
        <v>392.67899999999997</v>
      </c>
      <c r="M647" s="37">
        <v>6294.1639999999998</v>
      </c>
      <c r="N647" s="39">
        <f t="shared" si="117"/>
        <v>823.92299999999977</v>
      </c>
      <c r="O647" s="37">
        <v>5470.241</v>
      </c>
      <c r="P647" s="40">
        <f>25+90+20+20</f>
        <v>155</v>
      </c>
      <c r="Q647" s="40">
        <v>0</v>
      </c>
      <c r="R647" s="41">
        <f t="shared" si="118"/>
        <v>155</v>
      </c>
      <c r="S647" s="42">
        <v>4072</v>
      </c>
    </row>
    <row r="648" spans="2:19" ht="15.75" x14ac:dyDescent="0.25">
      <c r="B648" s="55">
        <f t="shared" si="119"/>
        <v>3</v>
      </c>
      <c r="C648" s="55" t="s">
        <v>959</v>
      </c>
      <c r="D648" s="35" t="s">
        <v>960</v>
      </c>
      <c r="E648" s="36">
        <v>42735</v>
      </c>
      <c r="F648" s="37">
        <v>13309.323</v>
      </c>
      <c r="G648" s="38">
        <v>10</v>
      </c>
      <c r="H648" s="39">
        <f t="shared" si="116"/>
        <v>1330.9322999999999</v>
      </c>
      <c r="I648" s="37">
        <v>41282.898999999998</v>
      </c>
      <c r="J648" s="37">
        <v>102427.594</v>
      </c>
      <c r="K648" s="37">
        <v>69518.729000000007</v>
      </c>
      <c r="L648" s="37">
        <v>3136.0450000000001</v>
      </c>
      <c r="M648" s="37">
        <v>13375.228999999999</v>
      </c>
      <c r="N648" s="39">
        <f t="shared" si="117"/>
        <v>4350.5280000000002</v>
      </c>
      <c r="O648" s="37">
        <v>9024.7009999999991</v>
      </c>
      <c r="P648" s="40">
        <f>20+25+25</f>
        <v>70</v>
      </c>
      <c r="Q648" s="40">
        <v>0</v>
      </c>
      <c r="R648" s="41">
        <f t="shared" si="118"/>
        <v>70</v>
      </c>
      <c r="S648" s="42">
        <v>27056</v>
      </c>
    </row>
    <row r="649" spans="2:19" ht="15.75" x14ac:dyDescent="0.25">
      <c r="B649" s="55">
        <f t="shared" si="119"/>
        <v>4</v>
      </c>
      <c r="C649" s="55" t="s">
        <v>961</v>
      </c>
      <c r="D649" s="35" t="s">
        <v>962</v>
      </c>
      <c r="E649" s="36">
        <v>42735</v>
      </c>
      <c r="F649" s="37">
        <v>5237.848</v>
      </c>
      <c r="G649" s="38">
        <v>10</v>
      </c>
      <c r="H649" s="39">
        <f t="shared" si="116"/>
        <v>523.78480000000002</v>
      </c>
      <c r="I649" s="37">
        <v>84040.116999999998</v>
      </c>
      <c r="J649" s="37">
        <v>91031.854999999996</v>
      </c>
      <c r="K649" s="37">
        <v>64719.103999999999</v>
      </c>
      <c r="L649" s="37">
        <v>559.471</v>
      </c>
      <c r="M649" s="37">
        <v>63032.108999999997</v>
      </c>
      <c r="N649" s="39">
        <f t="shared" si="117"/>
        <v>1168.2409999999945</v>
      </c>
      <c r="O649" s="37">
        <v>61863.868000000002</v>
      </c>
      <c r="P649" s="40">
        <f>50+70+80+40</f>
        <v>240</v>
      </c>
      <c r="Q649" s="40">
        <v>0</v>
      </c>
      <c r="R649" s="41">
        <f t="shared" si="118"/>
        <v>240</v>
      </c>
      <c r="S649" s="42">
        <v>12910</v>
      </c>
    </row>
    <row r="650" spans="2:19" ht="15.75" x14ac:dyDescent="0.25">
      <c r="B650" s="55">
        <f t="shared" si="119"/>
        <v>5</v>
      </c>
      <c r="C650" s="55" t="s">
        <v>963</v>
      </c>
      <c r="D650" s="35" t="s">
        <v>964</v>
      </c>
      <c r="E650" s="36">
        <v>42735</v>
      </c>
      <c r="F650" s="37">
        <v>21000</v>
      </c>
      <c r="G650" s="38">
        <v>10</v>
      </c>
      <c r="H650" s="39">
        <f t="shared" si="116"/>
        <v>2100</v>
      </c>
      <c r="I650" s="37">
        <v>47374.016000000003</v>
      </c>
      <c r="J650" s="37">
        <v>110597.118</v>
      </c>
      <c r="K650" s="37">
        <v>33764.644</v>
      </c>
      <c r="L650" s="37">
        <v>2739.4119999999998</v>
      </c>
      <c r="M650" s="37">
        <v>11626.502</v>
      </c>
      <c r="N650" s="39">
        <f t="shared" si="117"/>
        <v>1844.3590000000004</v>
      </c>
      <c r="O650" s="37">
        <v>9782.143</v>
      </c>
      <c r="P650" s="40">
        <f>12.5+20</f>
        <v>32.5</v>
      </c>
      <c r="Q650" s="40">
        <v>0</v>
      </c>
      <c r="R650" s="41">
        <f t="shared" si="118"/>
        <v>32.5</v>
      </c>
      <c r="S650" s="42">
        <v>11211</v>
      </c>
    </row>
    <row r="651" spans="2:19" ht="15.75" x14ac:dyDescent="0.25">
      <c r="B651" s="55">
        <f t="shared" si="119"/>
        <v>6</v>
      </c>
      <c r="C651" s="55" t="s">
        <v>965</v>
      </c>
      <c r="D651" s="35" t="s">
        <v>966</v>
      </c>
      <c r="E651" s="36">
        <v>42735</v>
      </c>
      <c r="F651" s="37">
        <v>9341.1</v>
      </c>
      <c r="G651" s="38">
        <v>10</v>
      </c>
      <c r="H651" s="39">
        <f t="shared" si="116"/>
        <v>934.11</v>
      </c>
      <c r="I651" s="37">
        <v>12757.058000000001</v>
      </c>
      <c r="J651" s="37">
        <v>63794.500999999997</v>
      </c>
      <c r="K651" s="37">
        <v>45011.358999999997</v>
      </c>
      <c r="L651" s="37">
        <v>2156.165</v>
      </c>
      <c r="M651" s="37">
        <v>1600.6110000000001</v>
      </c>
      <c r="N651" s="39">
        <f t="shared" si="117"/>
        <v>262.30300000000011</v>
      </c>
      <c r="O651" s="37">
        <v>1338.308</v>
      </c>
      <c r="P651" s="40">
        <f>5</f>
        <v>5</v>
      </c>
      <c r="Q651" s="40">
        <v>0</v>
      </c>
      <c r="R651" s="41">
        <f t="shared" si="118"/>
        <v>5</v>
      </c>
      <c r="S651" s="42">
        <v>14629</v>
      </c>
    </row>
    <row r="652" spans="2:19" ht="15.75" x14ac:dyDescent="0.25">
      <c r="B652" s="55">
        <f t="shared" si="119"/>
        <v>7</v>
      </c>
      <c r="C652" s="55" t="s">
        <v>967</v>
      </c>
      <c r="D652" s="35" t="s">
        <v>968</v>
      </c>
      <c r="E652" s="36">
        <v>42735</v>
      </c>
      <c r="F652" s="37">
        <v>12722.382</v>
      </c>
      <c r="G652" s="38">
        <v>10</v>
      </c>
      <c r="H652" s="39">
        <f t="shared" si="116"/>
        <v>1272.2382</v>
      </c>
      <c r="I652" s="37">
        <v>27724.345000000001</v>
      </c>
      <c r="J652" s="37">
        <v>90709.084000000003</v>
      </c>
      <c r="K652" s="37">
        <v>72876.687000000005</v>
      </c>
      <c r="L652" s="37">
        <v>2405.5889999999999</v>
      </c>
      <c r="M652" s="37">
        <v>17393.992999999999</v>
      </c>
      <c r="N652" s="39">
        <f t="shared" si="117"/>
        <v>5611.9999999999982</v>
      </c>
      <c r="O652" s="37">
        <v>11781.993</v>
      </c>
      <c r="P652" s="40">
        <f>18.5+15.5+17.5+27.5</f>
        <v>79</v>
      </c>
      <c r="Q652" s="40">
        <v>0</v>
      </c>
      <c r="R652" s="41">
        <f t="shared" si="118"/>
        <v>79</v>
      </c>
      <c r="S652" s="42">
        <v>17459</v>
      </c>
    </row>
    <row r="653" spans="2:19" ht="15.75" x14ac:dyDescent="0.25">
      <c r="B653" s="29"/>
      <c r="C653" s="29"/>
      <c r="D653" s="29"/>
      <c r="E653" s="29"/>
      <c r="F653" s="29"/>
      <c r="G653" s="43"/>
      <c r="H653" s="44"/>
      <c r="I653" s="31"/>
      <c r="J653" s="31"/>
      <c r="K653" s="31"/>
      <c r="L653" s="31"/>
      <c r="M653" s="31"/>
      <c r="N653" s="45"/>
      <c r="O653" s="31"/>
      <c r="P653" s="31"/>
      <c r="Q653" s="31"/>
      <c r="R653" s="45"/>
      <c r="S653" s="31"/>
    </row>
    <row r="654" spans="2:19" ht="15.75" x14ac:dyDescent="0.25">
      <c r="B654" s="34">
        <f>COUNT(B646:B653)</f>
        <v>7</v>
      </c>
      <c r="C654" s="34"/>
      <c r="D654" s="48"/>
      <c r="E654" s="48"/>
      <c r="F654" s="48">
        <f>SUM(F646:F653)</f>
        <v>70961.024000000005</v>
      </c>
      <c r="G654" s="49"/>
      <c r="H654" s="50">
        <f t="shared" ref="H654:O654" si="120">SUM(H646:H653)</f>
        <v>7096.1023999999989</v>
      </c>
      <c r="I654" s="48">
        <f t="shared" si="120"/>
        <v>273080.32163599995</v>
      </c>
      <c r="J654" s="48">
        <f t="shared" si="120"/>
        <v>533275.00775799993</v>
      </c>
      <c r="K654" s="48">
        <f t="shared" si="120"/>
        <v>295305.32715700002</v>
      </c>
      <c r="L654" s="48">
        <f t="shared" si="120"/>
        <v>11667.029409999999</v>
      </c>
      <c r="M654" s="48">
        <f t="shared" si="120"/>
        <v>114890.95411900002</v>
      </c>
      <c r="N654" s="51">
        <f t="shared" si="120"/>
        <v>14348.576130999993</v>
      </c>
      <c r="O654" s="48">
        <f t="shared" si="120"/>
        <v>100542.37798800001</v>
      </c>
      <c r="P654" s="52"/>
      <c r="Q654" s="52"/>
      <c r="R654" s="53"/>
      <c r="S654" s="54">
        <f>SUM(S646:S653)</f>
        <v>92597</v>
      </c>
    </row>
    <row r="655" spans="2:19" ht="15.75" x14ac:dyDescent="0.25">
      <c r="B655" s="29"/>
      <c r="C655" s="29"/>
      <c r="D655" s="29"/>
      <c r="E655" s="29"/>
      <c r="F655" s="29"/>
      <c r="G655" s="43"/>
      <c r="H655" s="44"/>
      <c r="I655" s="31"/>
      <c r="J655" s="31"/>
      <c r="K655" s="31"/>
      <c r="L655" s="31"/>
      <c r="M655" s="31"/>
      <c r="N655" s="45"/>
      <c r="O655" s="31"/>
      <c r="P655" s="31"/>
      <c r="Q655" s="31"/>
      <c r="R655" s="45"/>
      <c r="S655" s="31"/>
    </row>
    <row r="656" spans="2:19" ht="15.75" x14ac:dyDescent="0.25">
      <c r="B656" s="29"/>
      <c r="C656" s="29"/>
      <c r="D656" s="29"/>
      <c r="E656" s="29"/>
      <c r="F656" s="29"/>
      <c r="G656" s="43"/>
      <c r="H656" s="44"/>
      <c r="I656" s="31"/>
      <c r="J656" s="31"/>
      <c r="K656" s="31"/>
      <c r="L656" s="31"/>
      <c r="M656" s="31"/>
      <c r="N656" s="45"/>
      <c r="O656" s="31"/>
      <c r="P656" s="31"/>
      <c r="Q656" s="31"/>
      <c r="R656" s="45"/>
      <c r="S656" s="31"/>
    </row>
    <row r="657" spans="2:19" ht="18.75" x14ac:dyDescent="0.3">
      <c r="B657" s="29"/>
      <c r="C657" s="33">
        <v>28</v>
      </c>
      <c r="D657" s="33" t="s">
        <v>969</v>
      </c>
      <c r="E657" s="61"/>
      <c r="F657" s="61"/>
      <c r="G657" s="43"/>
      <c r="H657" s="44"/>
      <c r="I657" s="31"/>
      <c r="J657" s="31"/>
      <c r="K657" s="31"/>
      <c r="L657" s="31"/>
      <c r="M657" s="31"/>
      <c r="N657" s="45"/>
      <c r="O657" s="31"/>
      <c r="P657" s="31"/>
      <c r="Q657" s="31"/>
      <c r="R657" s="45"/>
      <c r="S657" s="31"/>
    </row>
    <row r="658" spans="2:19" ht="15.75" x14ac:dyDescent="0.25">
      <c r="B658" s="29"/>
      <c r="C658" s="29"/>
      <c r="D658" s="29"/>
      <c r="E658" s="29"/>
      <c r="F658" s="29"/>
      <c r="G658" s="43"/>
      <c r="H658" s="44"/>
      <c r="I658" s="31"/>
      <c r="J658" s="31"/>
      <c r="K658" s="31"/>
      <c r="L658" s="31"/>
      <c r="M658" s="31"/>
      <c r="N658" s="45"/>
      <c r="O658" s="31"/>
      <c r="P658" s="31"/>
      <c r="Q658" s="31"/>
      <c r="R658" s="45"/>
      <c r="S658" s="31"/>
    </row>
    <row r="659" spans="2:19" ht="15.75" x14ac:dyDescent="0.25">
      <c r="B659" s="34">
        <v>1</v>
      </c>
      <c r="C659" s="34" t="s">
        <v>970</v>
      </c>
      <c r="D659" s="35" t="s">
        <v>971</v>
      </c>
      <c r="E659" s="36">
        <v>42735</v>
      </c>
      <c r="F659" s="37">
        <v>979.00300000000004</v>
      </c>
      <c r="G659" s="38">
        <v>10</v>
      </c>
      <c r="H659" s="39">
        <f t="shared" ref="H659:H667" si="121">+F659/G659</f>
        <v>97.900300000000001</v>
      </c>
      <c r="I659" s="37">
        <v>14593.24</v>
      </c>
      <c r="J659" s="37">
        <v>17645.184000000001</v>
      </c>
      <c r="K659" s="37">
        <v>23387.915000000001</v>
      </c>
      <c r="L659" s="37">
        <v>6.7590000000000003</v>
      </c>
      <c r="M659" s="37">
        <v>5587.1409999999996</v>
      </c>
      <c r="N659" s="39">
        <f t="shared" ref="N659:N667" si="122">+M659-O659</f>
        <v>1565.3489999999997</v>
      </c>
      <c r="O659" s="37">
        <v>4021.7919999999999</v>
      </c>
      <c r="P659" s="40">
        <f>100+300</f>
        <v>400</v>
      </c>
      <c r="Q659" s="40">
        <v>0</v>
      </c>
      <c r="R659" s="41">
        <f t="shared" ref="R659:R667" si="123">SUM(P659:Q659)</f>
        <v>400</v>
      </c>
      <c r="S659" s="42">
        <v>2408</v>
      </c>
    </row>
    <row r="660" spans="2:19" ht="15.75" x14ac:dyDescent="0.25">
      <c r="B660" s="34">
        <f>+B659+1</f>
        <v>2</v>
      </c>
      <c r="C660" s="34" t="s">
        <v>972</v>
      </c>
      <c r="D660" s="35" t="s">
        <v>973</v>
      </c>
      <c r="E660" s="36">
        <v>42551</v>
      </c>
      <c r="F660" s="37">
        <v>301.86840999999998</v>
      </c>
      <c r="G660" s="38">
        <v>10</v>
      </c>
      <c r="H660" s="39">
        <f t="shared" si="121"/>
        <v>30.186840999999998</v>
      </c>
      <c r="I660" s="37">
        <v>4068.1262769999998</v>
      </c>
      <c r="J660" s="37">
        <v>5701.6213520000001</v>
      </c>
      <c r="K660" s="37">
        <v>10186.496154</v>
      </c>
      <c r="L660" s="37">
        <v>11.152570000000001</v>
      </c>
      <c r="M660" s="37">
        <v>2654.0251929999999</v>
      </c>
      <c r="N660" s="39">
        <f t="shared" si="122"/>
        <v>549.53809599999977</v>
      </c>
      <c r="O660" s="37">
        <v>2104.4870970000002</v>
      </c>
      <c r="P660" s="40">
        <f>100+120</f>
        <v>220</v>
      </c>
      <c r="Q660" s="40">
        <v>0</v>
      </c>
      <c r="R660" s="41">
        <f t="shared" si="123"/>
        <v>220</v>
      </c>
      <c r="S660" s="42">
        <v>2830</v>
      </c>
    </row>
    <row r="661" spans="2:19" ht="15.75" x14ac:dyDescent="0.25">
      <c r="B661" s="34">
        <f t="shared" ref="B661:B667" si="124">+B660+1</f>
        <v>3</v>
      </c>
      <c r="C661" s="34" t="s">
        <v>974</v>
      </c>
      <c r="D661" s="35" t="s">
        <v>975</v>
      </c>
      <c r="E661" s="36">
        <v>42735</v>
      </c>
      <c r="F661" s="37">
        <v>3184.672</v>
      </c>
      <c r="G661" s="38">
        <v>10</v>
      </c>
      <c r="H661" s="39">
        <f t="shared" si="121"/>
        <v>318.46719999999999</v>
      </c>
      <c r="I661" s="37">
        <v>13542.785</v>
      </c>
      <c r="J661" s="37">
        <v>21165.107</v>
      </c>
      <c r="K661" s="37">
        <v>27563.532999999999</v>
      </c>
      <c r="L661" s="37">
        <v>19.032</v>
      </c>
      <c r="M661" s="37">
        <v>4540.07</v>
      </c>
      <c r="N661" s="39">
        <f t="shared" si="122"/>
        <v>1777.8849999999998</v>
      </c>
      <c r="O661" s="37">
        <v>2762.1849999999999</v>
      </c>
      <c r="P661" s="40">
        <v>60</v>
      </c>
      <c r="Q661" s="40">
        <v>0</v>
      </c>
      <c r="R661" s="41">
        <f t="shared" si="123"/>
        <v>60</v>
      </c>
      <c r="S661" s="42">
        <v>7536</v>
      </c>
    </row>
    <row r="662" spans="2:19" ht="15.75" x14ac:dyDescent="0.25">
      <c r="B662" s="34">
        <f t="shared" si="124"/>
        <v>4</v>
      </c>
      <c r="C662" s="34" t="s">
        <v>976</v>
      </c>
      <c r="D662" s="35" t="s">
        <v>977</v>
      </c>
      <c r="E662" s="36">
        <v>42735</v>
      </c>
      <c r="F662" s="37">
        <v>228.0564</v>
      </c>
      <c r="G662" s="38">
        <v>10</v>
      </c>
      <c r="H662" s="39">
        <f t="shared" si="121"/>
        <v>22.80564</v>
      </c>
      <c r="I662" s="37">
        <v>1604.5120589999999</v>
      </c>
      <c r="J662" s="37">
        <v>2833.6195229999998</v>
      </c>
      <c r="K662" s="37">
        <v>5070.7553939999998</v>
      </c>
      <c r="L662" s="37">
        <v>6.0712469999999996</v>
      </c>
      <c r="M662" s="37">
        <v>789.87507100000005</v>
      </c>
      <c r="N662" s="39">
        <f t="shared" si="122"/>
        <v>254.899404</v>
      </c>
      <c r="O662" s="37">
        <v>534.97566700000004</v>
      </c>
      <c r="P662" s="40">
        <v>85</v>
      </c>
      <c r="Q662" s="40">
        <v>12</v>
      </c>
      <c r="R662" s="41">
        <f t="shared" si="123"/>
        <v>97</v>
      </c>
      <c r="S662" s="42">
        <v>3102</v>
      </c>
    </row>
    <row r="663" spans="2:19" ht="15.75" x14ac:dyDescent="0.25">
      <c r="B663" s="34">
        <f t="shared" si="124"/>
        <v>5</v>
      </c>
      <c r="C663" s="34" t="s">
        <v>978</v>
      </c>
      <c r="D663" s="35" t="s">
        <v>979</v>
      </c>
      <c r="E663" s="36">
        <v>42551</v>
      </c>
      <c r="F663" s="37">
        <v>427.57</v>
      </c>
      <c r="G663" s="38">
        <v>10</v>
      </c>
      <c r="H663" s="39">
        <f>+F663/G663</f>
        <v>42.756999999999998</v>
      </c>
      <c r="I663" s="37">
        <v>932.92100000000005</v>
      </c>
      <c r="J663" s="37">
        <v>1178.8810000000001</v>
      </c>
      <c r="K663" s="37">
        <v>1156.421</v>
      </c>
      <c r="L663" s="37">
        <v>2.464</v>
      </c>
      <c r="M663" s="37">
        <v>220.595</v>
      </c>
      <c r="N663" s="39">
        <f>+M663-O663</f>
        <v>41.700999999999993</v>
      </c>
      <c r="O663" s="37">
        <v>178.89400000000001</v>
      </c>
      <c r="P663" s="40">
        <f>10</f>
        <v>10</v>
      </c>
      <c r="Q663" s="40">
        <f>10+15</f>
        <v>25</v>
      </c>
      <c r="R663" s="41">
        <f>SUM(P663:Q663)</f>
        <v>35</v>
      </c>
      <c r="S663" s="42">
        <v>5231</v>
      </c>
    </row>
    <row r="664" spans="2:19" ht="15.75" x14ac:dyDescent="0.25">
      <c r="B664" s="34">
        <f t="shared" si="124"/>
        <v>6</v>
      </c>
      <c r="C664" s="34" t="s">
        <v>980</v>
      </c>
      <c r="D664" s="35" t="s">
        <v>981</v>
      </c>
      <c r="E664" s="36">
        <v>42551</v>
      </c>
      <c r="F664" s="37">
        <v>110</v>
      </c>
      <c r="G664" s="38">
        <v>10</v>
      </c>
      <c r="H664" s="39">
        <f t="shared" si="121"/>
        <v>11</v>
      </c>
      <c r="I664" s="37">
        <v>29.478000000000002</v>
      </c>
      <c r="J664" s="37">
        <v>1582.6569999999999</v>
      </c>
      <c r="K664" s="37">
        <v>1550.7090000000001</v>
      </c>
      <c r="L664" s="37">
        <v>64.983000000000004</v>
      </c>
      <c r="M664" s="37">
        <v>-153.477</v>
      </c>
      <c r="N664" s="39">
        <f t="shared" si="122"/>
        <v>-41.3</v>
      </c>
      <c r="O664" s="37">
        <v>-112.17700000000001</v>
      </c>
      <c r="P664" s="40">
        <v>0</v>
      </c>
      <c r="Q664" s="40">
        <v>0</v>
      </c>
      <c r="R664" s="41">
        <f t="shared" si="123"/>
        <v>0</v>
      </c>
      <c r="S664" s="42">
        <v>1171</v>
      </c>
    </row>
    <row r="665" spans="2:19" ht="15.75" x14ac:dyDescent="0.25">
      <c r="B665" s="34">
        <f t="shared" si="124"/>
        <v>7</v>
      </c>
      <c r="C665" s="34" t="s">
        <v>982</v>
      </c>
      <c r="D665" s="35" t="s">
        <v>983</v>
      </c>
      <c r="E665" s="36">
        <v>42735</v>
      </c>
      <c r="F665" s="37">
        <v>96.447999999999993</v>
      </c>
      <c r="G665" s="38">
        <v>10</v>
      </c>
      <c r="H665" s="39">
        <f t="shared" si="121"/>
        <v>9.6448</v>
      </c>
      <c r="I665" s="37">
        <v>3412.34</v>
      </c>
      <c r="J665" s="37">
        <v>6818.7520000000004</v>
      </c>
      <c r="K665" s="37">
        <v>11890.235000000001</v>
      </c>
      <c r="L665" s="37">
        <v>159.327</v>
      </c>
      <c r="M665" s="37">
        <v>1407.3879999999999</v>
      </c>
      <c r="N665" s="39">
        <f t="shared" si="122"/>
        <v>388.46599999999989</v>
      </c>
      <c r="O665" s="37">
        <v>1018.922</v>
      </c>
      <c r="P665" s="40">
        <v>300</v>
      </c>
      <c r="Q665" s="40">
        <v>0</v>
      </c>
      <c r="R665" s="41">
        <f t="shared" si="123"/>
        <v>300</v>
      </c>
      <c r="S665" s="42">
        <v>899</v>
      </c>
    </row>
    <row r="666" spans="2:19" ht="15.75" x14ac:dyDescent="0.25">
      <c r="B666" s="34">
        <f t="shared" si="124"/>
        <v>8</v>
      </c>
      <c r="C666" s="34" t="s">
        <v>984</v>
      </c>
      <c r="D666" s="35" t="s">
        <v>985</v>
      </c>
      <c r="E666" s="36">
        <v>42551</v>
      </c>
      <c r="F666" s="37">
        <v>1227.5229999999999</v>
      </c>
      <c r="G666" s="38">
        <v>10</v>
      </c>
      <c r="H666" s="39">
        <f t="shared" si="121"/>
        <v>122.75229999999999</v>
      </c>
      <c r="I666" s="37">
        <v>8180.2169999999996</v>
      </c>
      <c r="J666" s="37">
        <v>11506.498</v>
      </c>
      <c r="K666" s="37">
        <v>9524.5750000000007</v>
      </c>
      <c r="L666" s="37">
        <v>110.14700000000001</v>
      </c>
      <c r="M666" s="37">
        <v>2520.2950000000001</v>
      </c>
      <c r="N666" s="39">
        <f t="shared" si="122"/>
        <v>430.90700000000015</v>
      </c>
      <c r="O666" s="37">
        <v>2089.3879999999999</v>
      </c>
      <c r="P666" s="40">
        <f>50</f>
        <v>50</v>
      </c>
      <c r="Q666" s="40">
        <f>10+14</f>
        <v>24</v>
      </c>
      <c r="R666" s="41">
        <f t="shared" si="123"/>
        <v>74</v>
      </c>
      <c r="S666" s="42">
        <v>7343</v>
      </c>
    </row>
    <row r="667" spans="2:19" ht="15.75" x14ac:dyDescent="0.25">
      <c r="B667" s="34">
        <f t="shared" si="124"/>
        <v>9</v>
      </c>
      <c r="C667" s="34" t="s">
        <v>986</v>
      </c>
      <c r="D667" s="35" t="s">
        <v>987</v>
      </c>
      <c r="E667" s="36">
        <v>42704</v>
      </c>
      <c r="F667" s="37">
        <v>142.161</v>
      </c>
      <c r="G667" s="38">
        <v>100</v>
      </c>
      <c r="H667" s="39">
        <f t="shared" si="121"/>
        <v>1.42161</v>
      </c>
      <c r="I667" s="37">
        <v>1224.5260000000001</v>
      </c>
      <c r="J667" s="37">
        <v>1969.92</v>
      </c>
      <c r="K667" s="37">
        <v>1252.239</v>
      </c>
      <c r="L667" s="37">
        <v>0.59299999999999997</v>
      </c>
      <c r="M667" s="37">
        <v>194.78100000000001</v>
      </c>
      <c r="N667" s="39">
        <f t="shared" si="122"/>
        <v>81.965000000000003</v>
      </c>
      <c r="O667" s="37">
        <v>112.816</v>
      </c>
      <c r="P667" s="40">
        <v>35</v>
      </c>
      <c r="Q667" s="40">
        <v>0</v>
      </c>
      <c r="R667" s="41">
        <f t="shared" si="123"/>
        <v>35</v>
      </c>
      <c r="S667" s="42">
        <v>857</v>
      </c>
    </row>
    <row r="668" spans="2:19" ht="15.75" x14ac:dyDescent="0.25">
      <c r="B668" s="29"/>
      <c r="C668" s="29"/>
      <c r="D668" s="29"/>
      <c r="E668" s="29"/>
      <c r="F668" s="29"/>
      <c r="G668" s="43"/>
      <c r="H668" s="44"/>
      <c r="I668" s="31"/>
      <c r="J668" s="31"/>
      <c r="K668" s="31"/>
      <c r="L668" s="31"/>
      <c r="M668" s="31"/>
      <c r="N668" s="45"/>
      <c r="O668" s="31"/>
      <c r="P668" s="31"/>
      <c r="Q668" s="31"/>
      <c r="R668" s="45"/>
      <c r="S668" s="31"/>
    </row>
    <row r="669" spans="2:19" ht="15.75" x14ac:dyDescent="0.25">
      <c r="B669" s="34">
        <f>COUNT(B659:B668)</f>
        <v>9</v>
      </c>
      <c r="C669" s="34"/>
      <c r="D669" s="48"/>
      <c r="E669" s="48"/>
      <c r="F669" s="48">
        <f>SUM(F659:F668)</f>
        <v>6697.3018100000008</v>
      </c>
      <c r="G669" s="49"/>
      <c r="H669" s="50">
        <f t="shared" ref="H669:O669" si="125">SUM(H659:H668)</f>
        <v>656.93569100000002</v>
      </c>
      <c r="I669" s="48">
        <f t="shared" si="125"/>
        <v>47588.145335999994</v>
      </c>
      <c r="J669" s="48">
        <f t="shared" si="125"/>
        <v>70402.239874999999</v>
      </c>
      <c r="K669" s="48">
        <f t="shared" si="125"/>
        <v>91582.878548000008</v>
      </c>
      <c r="L669" s="48">
        <f t="shared" si="125"/>
        <v>380.528817</v>
      </c>
      <c r="M669" s="48">
        <f t="shared" si="125"/>
        <v>17760.693263999998</v>
      </c>
      <c r="N669" s="51">
        <f t="shared" si="125"/>
        <v>5049.410499999999</v>
      </c>
      <c r="O669" s="48">
        <f t="shared" si="125"/>
        <v>12711.282764000001</v>
      </c>
      <c r="P669" s="52"/>
      <c r="Q669" s="52"/>
      <c r="R669" s="53"/>
      <c r="S669" s="54">
        <f>SUM(S659:S668)</f>
        <v>31377</v>
      </c>
    </row>
    <row r="670" spans="2:19" ht="15.75" x14ac:dyDescent="0.25">
      <c r="B670" s="29"/>
      <c r="C670" s="29"/>
      <c r="D670" s="29"/>
      <c r="E670" s="29"/>
      <c r="F670" s="29"/>
      <c r="G670" s="43"/>
      <c r="H670" s="44"/>
      <c r="I670" s="31"/>
      <c r="J670" s="31"/>
      <c r="K670" s="31"/>
      <c r="L670" s="31"/>
      <c r="M670" s="31"/>
      <c r="N670" s="45"/>
      <c r="O670" s="31"/>
      <c r="P670" s="31"/>
      <c r="Q670" s="31"/>
      <c r="R670" s="45"/>
      <c r="S670" s="31"/>
    </row>
    <row r="671" spans="2:19" ht="15.75" x14ac:dyDescent="0.25">
      <c r="B671" s="29"/>
      <c r="C671" s="29"/>
      <c r="D671" s="29"/>
      <c r="E671" s="29"/>
      <c r="F671" s="29"/>
      <c r="G671" s="43"/>
      <c r="H671" s="44"/>
      <c r="I671" s="31"/>
      <c r="J671" s="31"/>
      <c r="K671" s="31"/>
      <c r="L671" s="31"/>
      <c r="M671" s="31"/>
      <c r="N671" s="45"/>
      <c r="O671" s="31"/>
      <c r="P671" s="31"/>
      <c r="Q671" s="31"/>
      <c r="R671" s="45"/>
      <c r="S671" s="31"/>
    </row>
    <row r="672" spans="2:19" ht="18.75" x14ac:dyDescent="0.3">
      <c r="B672" s="29"/>
      <c r="C672" s="33">
        <v>29</v>
      </c>
      <c r="D672" s="33" t="s">
        <v>988</v>
      </c>
      <c r="E672" s="61"/>
      <c r="F672" s="61"/>
      <c r="G672" s="43"/>
      <c r="H672" s="44"/>
      <c r="I672" s="31"/>
      <c r="J672" s="31"/>
      <c r="K672" s="31"/>
      <c r="L672" s="31"/>
      <c r="M672" s="31"/>
      <c r="N672" s="45"/>
      <c r="O672" s="31"/>
      <c r="P672" s="31"/>
      <c r="Q672" s="31"/>
      <c r="R672" s="45"/>
      <c r="S672" s="31"/>
    </row>
    <row r="673" spans="2:19" ht="15.75" x14ac:dyDescent="0.25">
      <c r="B673" s="29"/>
      <c r="C673" s="29"/>
      <c r="D673" s="29"/>
      <c r="E673" s="29"/>
      <c r="F673" s="29"/>
      <c r="G673" s="43"/>
      <c r="H673" s="44"/>
      <c r="I673" s="31"/>
      <c r="J673" s="31"/>
      <c r="K673" s="31"/>
      <c r="L673" s="31"/>
      <c r="M673" s="31"/>
      <c r="N673" s="45"/>
      <c r="O673" s="31"/>
      <c r="P673" s="31"/>
      <c r="Q673" s="31"/>
      <c r="R673" s="45"/>
      <c r="S673" s="31"/>
    </row>
    <row r="674" spans="2:19" ht="15.75" x14ac:dyDescent="0.25">
      <c r="B674" s="55">
        <v>1</v>
      </c>
      <c r="C674" s="55" t="s">
        <v>989</v>
      </c>
      <c r="D674" s="35" t="s">
        <v>990</v>
      </c>
      <c r="E674" s="36">
        <v>42735</v>
      </c>
      <c r="F674" s="37">
        <v>3924.3</v>
      </c>
      <c r="G674" s="38">
        <v>10</v>
      </c>
      <c r="H674" s="39">
        <f t="shared" ref="H674:H700" si="126">+F674/G674</f>
        <v>392.43</v>
      </c>
      <c r="I674" s="37">
        <v>-4673.6434630000003</v>
      </c>
      <c r="J674" s="37">
        <v>47904.595700999998</v>
      </c>
      <c r="K674" s="37">
        <v>8238.5832819999996</v>
      </c>
      <c r="L674" s="37">
        <v>2178.4803700000002</v>
      </c>
      <c r="M674" s="37">
        <v>-1726.4396389999999</v>
      </c>
      <c r="N674" s="39">
        <f t="shared" ref="N674:N700" si="127">+M674-O674</f>
        <v>582.4850570000001</v>
      </c>
      <c r="O674" s="37">
        <v>-2308.924696</v>
      </c>
      <c r="P674" s="40">
        <v>0</v>
      </c>
      <c r="Q674" s="40">
        <v>0</v>
      </c>
      <c r="R674" s="41">
        <f t="shared" ref="R674:R700" si="128">SUM(P674:Q674)</f>
        <v>0</v>
      </c>
      <c r="S674" s="42">
        <v>2164</v>
      </c>
    </row>
    <row r="675" spans="2:19" ht="15.75" x14ac:dyDescent="0.25">
      <c r="B675" s="55">
        <f>+B674+1</f>
        <v>2</v>
      </c>
      <c r="C675" s="34" t="s">
        <v>991</v>
      </c>
      <c r="D675" s="35" t="s">
        <v>992</v>
      </c>
      <c r="E675" s="36">
        <v>42735</v>
      </c>
      <c r="F675" s="37">
        <v>464.43299999999999</v>
      </c>
      <c r="G675" s="38">
        <v>10</v>
      </c>
      <c r="H675" s="39">
        <f t="shared" si="126"/>
        <v>46.443300000000001</v>
      </c>
      <c r="I675" s="37">
        <v>2211.422</v>
      </c>
      <c r="J675" s="37">
        <v>5086.9359999999997</v>
      </c>
      <c r="K675" s="37">
        <v>5136.9610000000002</v>
      </c>
      <c r="L675" s="37">
        <v>6.173</v>
      </c>
      <c r="M675" s="37">
        <v>771.93100000000004</v>
      </c>
      <c r="N675" s="39">
        <f t="shared" si="127"/>
        <v>281.19400000000002</v>
      </c>
      <c r="O675" s="37">
        <v>490.73700000000002</v>
      </c>
      <c r="P675" s="40">
        <v>65</v>
      </c>
      <c r="Q675" s="40">
        <v>0</v>
      </c>
      <c r="R675" s="41">
        <f t="shared" si="128"/>
        <v>65</v>
      </c>
      <c r="S675" s="42">
        <v>11141</v>
      </c>
    </row>
    <row r="676" spans="2:19" ht="15.75" x14ac:dyDescent="0.25">
      <c r="B676" s="55">
        <f t="shared" ref="B676:B700" si="129">+B675+1</f>
        <v>3</v>
      </c>
      <c r="C676" s="55" t="s">
        <v>993</v>
      </c>
      <c r="D676" s="35" t="s">
        <v>994</v>
      </c>
      <c r="E676" s="36">
        <v>42643</v>
      </c>
      <c r="F676" s="37">
        <v>341.17899999999997</v>
      </c>
      <c r="G676" s="38">
        <v>10</v>
      </c>
      <c r="H676" s="39">
        <f t="shared" si="126"/>
        <v>34.117899999999999</v>
      </c>
      <c r="I676" s="37">
        <v>5387.4120000000003</v>
      </c>
      <c r="J676" s="37">
        <v>8683.8289999999997</v>
      </c>
      <c r="K676" s="37">
        <v>11350.227000000001</v>
      </c>
      <c r="L676" s="37">
        <v>128.31899999999999</v>
      </c>
      <c r="M676" s="37">
        <v>2320.3919999999998</v>
      </c>
      <c r="N676" s="39">
        <f t="shared" si="127"/>
        <v>600.36099999999988</v>
      </c>
      <c r="O676" s="37">
        <v>1720.0309999999999</v>
      </c>
      <c r="P676" s="40">
        <f>600</f>
        <v>600</v>
      </c>
      <c r="Q676" s="40">
        <v>0</v>
      </c>
      <c r="R676" s="41">
        <f t="shared" si="128"/>
        <v>600</v>
      </c>
      <c r="S676" s="42">
        <v>1806</v>
      </c>
    </row>
    <row r="677" spans="2:19" ht="15.75" x14ac:dyDescent="0.25">
      <c r="B677" s="55">
        <f t="shared" si="129"/>
        <v>4</v>
      </c>
      <c r="C677" s="55" t="s">
        <v>995</v>
      </c>
      <c r="D677" s="35" t="s">
        <v>996</v>
      </c>
      <c r="E677" s="36">
        <v>42551</v>
      </c>
      <c r="F677" s="37">
        <v>75.025000000000006</v>
      </c>
      <c r="G677" s="38">
        <v>10</v>
      </c>
      <c r="H677" s="39">
        <f>+F677/G677</f>
        <v>7.5025000000000004</v>
      </c>
      <c r="I677" s="37"/>
      <c r="J677" s="37"/>
      <c r="K677" s="37"/>
      <c r="L677" s="37"/>
      <c r="M677" s="37">
        <v>-17.661000000000001</v>
      </c>
      <c r="N677" s="39">
        <f>+M677-O677</f>
        <v>3.0000000000001137E-3</v>
      </c>
      <c r="O677" s="37">
        <v>-17.664000000000001</v>
      </c>
      <c r="P677" s="40">
        <v>0</v>
      </c>
      <c r="Q677" s="40">
        <v>0</v>
      </c>
      <c r="R677" s="41">
        <f>SUM(P677:Q677)</f>
        <v>0</v>
      </c>
      <c r="S677" s="42"/>
    </row>
    <row r="678" spans="2:19" ht="15.75" x14ac:dyDescent="0.25">
      <c r="B678" s="55">
        <f t="shared" si="129"/>
        <v>5</v>
      </c>
      <c r="C678" s="34" t="s">
        <v>997</v>
      </c>
      <c r="D678" s="35" t="s">
        <v>998</v>
      </c>
      <c r="E678" s="36">
        <v>42551</v>
      </c>
      <c r="F678" s="37">
        <v>181.864</v>
      </c>
      <c r="G678" s="38">
        <v>10</v>
      </c>
      <c r="H678" s="39">
        <f t="shared" si="126"/>
        <v>18.186399999999999</v>
      </c>
      <c r="I678" s="37">
        <v>819.90200000000004</v>
      </c>
      <c r="J678" s="37">
        <v>3703.2820000000002</v>
      </c>
      <c r="K678" s="37">
        <v>5081.7489999999998</v>
      </c>
      <c r="L678" s="37">
        <v>89.213999999999999</v>
      </c>
      <c r="M678" s="37">
        <v>322.39499999999998</v>
      </c>
      <c r="N678" s="39">
        <f t="shared" si="127"/>
        <v>137.61799999999999</v>
      </c>
      <c r="O678" s="37">
        <v>184.77699999999999</v>
      </c>
      <c r="P678" s="40">
        <f>45</f>
        <v>45</v>
      </c>
      <c r="Q678" s="40">
        <v>0</v>
      </c>
      <c r="R678" s="41">
        <f t="shared" si="128"/>
        <v>45</v>
      </c>
      <c r="S678" s="42">
        <v>1551</v>
      </c>
    </row>
    <row r="679" spans="2:19" ht="15.75" x14ac:dyDescent="0.25">
      <c r="B679" s="55">
        <f t="shared" si="129"/>
        <v>6</v>
      </c>
      <c r="C679" s="55" t="s">
        <v>999</v>
      </c>
      <c r="D679" s="35" t="s">
        <v>1000</v>
      </c>
      <c r="E679" s="36">
        <v>42551</v>
      </c>
      <c r="F679" s="37">
        <v>200</v>
      </c>
      <c r="G679" s="38">
        <v>10</v>
      </c>
      <c r="H679" s="39">
        <f t="shared" si="126"/>
        <v>20</v>
      </c>
      <c r="I679" s="37">
        <v>652.03487199999995</v>
      </c>
      <c r="J679" s="37">
        <v>1469.694857</v>
      </c>
      <c r="K679" s="37">
        <v>1447.8831889999999</v>
      </c>
      <c r="L679" s="37">
        <v>21.043925999999999</v>
      </c>
      <c r="M679" s="37">
        <v>520.54863799999998</v>
      </c>
      <c r="N679" s="39">
        <f t="shared" si="127"/>
        <v>122.11359199999998</v>
      </c>
      <c r="O679" s="37">
        <v>398.435046</v>
      </c>
      <c r="P679" s="40">
        <f>25+40+55+75</f>
        <v>195</v>
      </c>
      <c r="Q679" s="40">
        <v>0</v>
      </c>
      <c r="R679" s="41">
        <f t="shared" si="128"/>
        <v>195</v>
      </c>
      <c r="S679" s="42">
        <v>793</v>
      </c>
    </row>
    <row r="680" spans="2:19" ht="15.75" x14ac:dyDescent="0.25">
      <c r="B680" s="55">
        <f t="shared" si="129"/>
        <v>7</v>
      </c>
      <c r="C680" s="34" t="s">
        <v>1001</v>
      </c>
      <c r="D680" s="35" t="s">
        <v>1002</v>
      </c>
      <c r="E680" s="36">
        <v>42551</v>
      </c>
      <c r="F680" s="37">
        <v>14.4</v>
      </c>
      <c r="G680" s="38">
        <v>10</v>
      </c>
      <c r="H680" s="39">
        <f t="shared" si="126"/>
        <v>1.44</v>
      </c>
      <c r="I680" s="37">
        <v>14.316000000000001</v>
      </c>
      <c r="J680" s="37">
        <v>175.608</v>
      </c>
      <c r="K680" s="37">
        <v>209.733</v>
      </c>
      <c r="L680" s="37">
        <v>0.35199999999999998</v>
      </c>
      <c r="M680" s="37">
        <v>7.2809999999999997</v>
      </c>
      <c r="N680" s="39">
        <f t="shared" si="127"/>
        <v>2.1459999999999999</v>
      </c>
      <c r="O680" s="37">
        <v>5.1349999999999998</v>
      </c>
      <c r="P680" s="40">
        <v>0</v>
      </c>
      <c r="Q680" s="40">
        <v>0</v>
      </c>
      <c r="R680" s="41">
        <f t="shared" si="128"/>
        <v>0</v>
      </c>
      <c r="S680" s="42">
        <v>573</v>
      </c>
    </row>
    <row r="681" spans="2:19" ht="15.75" x14ac:dyDescent="0.25">
      <c r="B681" s="55">
        <f t="shared" si="129"/>
        <v>8</v>
      </c>
      <c r="C681" s="55" t="s">
        <v>1003</v>
      </c>
      <c r="D681" s="35" t="s">
        <v>1004</v>
      </c>
      <c r="E681" s="36">
        <v>42551</v>
      </c>
      <c r="F681" s="37">
        <v>479.54899999999998</v>
      </c>
      <c r="G681" s="38">
        <v>10</v>
      </c>
      <c r="H681" s="39">
        <f t="shared" si="126"/>
        <v>47.954899999999995</v>
      </c>
      <c r="I681" s="37">
        <v>10670.07</v>
      </c>
      <c r="J681" s="37">
        <v>13707.428</v>
      </c>
      <c r="K681" s="37">
        <v>25817.969000000001</v>
      </c>
      <c r="L681" s="37">
        <v>23.475999999999999</v>
      </c>
      <c r="M681" s="37">
        <v>4175.991</v>
      </c>
      <c r="N681" s="39">
        <f t="shared" si="127"/>
        <v>1357.1019999999999</v>
      </c>
      <c r="O681" s="37">
        <v>2818.8890000000001</v>
      </c>
      <c r="P681" s="40">
        <f>300</f>
        <v>300</v>
      </c>
      <c r="Q681" s="40">
        <v>0</v>
      </c>
      <c r="R681" s="41">
        <f t="shared" si="128"/>
        <v>300</v>
      </c>
      <c r="S681" s="42">
        <v>790</v>
      </c>
    </row>
    <row r="682" spans="2:19" ht="15.75" x14ac:dyDescent="0.25">
      <c r="B682" s="55">
        <f t="shared" si="129"/>
        <v>9</v>
      </c>
      <c r="C682" s="34" t="s">
        <v>1005</v>
      </c>
      <c r="D682" s="35" t="s">
        <v>1006</v>
      </c>
      <c r="E682" s="36">
        <v>42551</v>
      </c>
      <c r="F682" s="37">
        <v>40</v>
      </c>
      <c r="G682" s="38">
        <v>10</v>
      </c>
      <c r="H682" s="39">
        <f t="shared" si="126"/>
        <v>4</v>
      </c>
      <c r="I682" s="37">
        <v>22.528593999999998</v>
      </c>
      <c r="J682" s="37">
        <v>152.50245699999999</v>
      </c>
      <c r="K682" s="37">
        <v>83.232427000000001</v>
      </c>
      <c r="L682" s="37">
        <v>0.85287000000000002</v>
      </c>
      <c r="M682" s="37">
        <v>4.0642909999999999</v>
      </c>
      <c r="N682" s="39">
        <f t="shared" si="127"/>
        <v>8.6543500000000009</v>
      </c>
      <c r="O682" s="37">
        <v>-4.5900590000000001</v>
      </c>
      <c r="P682" s="40">
        <v>0</v>
      </c>
      <c r="Q682" s="40">
        <v>0</v>
      </c>
      <c r="R682" s="41">
        <f t="shared" si="128"/>
        <v>0</v>
      </c>
      <c r="S682" s="42">
        <v>2559</v>
      </c>
    </row>
    <row r="683" spans="2:19" ht="15.75" x14ac:dyDescent="0.25">
      <c r="B683" s="55">
        <f t="shared" si="129"/>
        <v>10</v>
      </c>
      <c r="C683" s="55" t="s">
        <v>1007</v>
      </c>
      <c r="D683" s="35" t="s">
        <v>1008</v>
      </c>
      <c r="E683" s="36">
        <v>42551</v>
      </c>
      <c r="F683" s="37">
        <v>997.78927999999996</v>
      </c>
      <c r="G683" s="38">
        <v>5</v>
      </c>
      <c r="H683" s="39">
        <f t="shared" si="126"/>
        <v>199.55785599999999</v>
      </c>
      <c r="I683" s="37">
        <v>537.20822999999996</v>
      </c>
      <c r="J683" s="37">
        <v>1692.9373439999999</v>
      </c>
      <c r="K683" s="37">
        <v>1778.018742</v>
      </c>
      <c r="L683" s="37">
        <v>49.605099000000003</v>
      </c>
      <c r="M683" s="37">
        <v>72.878495999999998</v>
      </c>
      <c r="N683" s="39">
        <f t="shared" si="127"/>
        <v>19.796344999999995</v>
      </c>
      <c r="O683" s="37">
        <v>53.082151000000003</v>
      </c>
      <c r="P683" s="40">
        <v>0</v>
      </c>
      <c r="Q683" s="40">
        <v>0</v>
      </c>
      <c r="R683" s="41">
        <f t="shared" si="128"/>
        <v>0</v>
      </c>
      <c r="S683" s="42">
        <v>4355</v>
      </c>
    </row>
    <row r="684" spans="2:19" ht="15.75" x14ac:dyDescent="0.25">
      <c r="B684" s="55">
        <f t="shared" si="129"/>
        <v>11</v>
      </c>
      <c r="C684" s="55" t="s">
        <v>1009</v>
      </c>
      <c r="D684" s="35" t="s">
        <v>1010</v>
      </c>
      <c r="E684" s="36">
        <v>42551</v>
      </c>
      <c r="F684" s="37">
        <v>1020</v>
      </c>
      <c r="G684" s="38">
        <v>10</v>
      </c>
      <c r="H684" s="39">
        <f t="shared" si="126"/>
        <v>102</v>
      </c>
      <c r="I684" s="37">
        <v>1512.5239999999999</v>
      </c>
      <c r="J684" s="37">
        <v>2547.1370000000002</v>
      </c>
      <c r="K684" s="37">
        <v>1581.547</v>
      </c>
      <c r="L684" s="37">
        <v>76.563999999999993</v>
      </c>
      <c r="M684" s="37">
        <v>133.67599999999999</v>
      </c>
      <c r="N684" s="39">
        <f t="shared" si="127"/>
        <v>88.686999999999983</v>
      </c>
      <c r="O684" s="37">
        <v>44.988999999999997</v>
      </c>
      <c r="P684" s="40">
        <v>0</v>
      </c>
      <c r="Q684" s="40">
        <v>0</v>
      </c>
      <c r="R684" s="41">
        <f t="shared" si="128"/>
        <v>0</v>
      </c>
      <c r="S684" s="42">
        <v>4417</v>
      </c>
    </row>
    <row r="685" spans="2:19" ht="15.75" x14ac:dyDescent="0.25">
      <c r="B685" s="55">
        <f t="shared" si="129"/>
        <v>12</v>
      </c>
      <c r="C685" s="55" t="s">
        <v>1011</v>
      </c>
      <c r="D685" s="35" t="s">
        <v>1012</v>
      </c>
      <c r="E685" s="36">
        <v>42551</v>
      </c>
      <c r="F685" s="37">
        <v>94.362065000000001</v>
      </c>
      <c r="G685" s="38">
        <v>5</v>
      </c>
      <c r="H685" s="39">
        <f t="shared" si="126"/>
        <v>18.872413000000002</v>
      </c>
      <c r="I685" s="37">
        <v>925.30393000000004</v>
      </c>
      <c r="J685" s="37">
        <v>1190.0049529999999</v>
      </c>
      <c r="K685" s="37">
        <v>2418.3997210000002</v>
      </c>
      <c r="L685" s="37">
        <v>12.907508999999999</v>
      </c>
      <c r="M685" s="37">
        <v>199.228689</v>
      </c>
      <c r="N685" s="39">
        <f t="shared" si="127"/>
        <v>63.881724999999989</v>
      </c>
      <c r="O685" s="37">
        <v>135.34696400000001</v>
      </c>
      <c r="P685" s="40">
        <f>50</f>
        <v>50</v>
      </c>
      <c r="Q685" s="40">
        <v>0</v>
      </c>
      <c r="R685" s="41">
        <f t="shared" si="128"/>
        <v>50</v>
      </c>
      <c r="S685" s="42">
        <v>1338</v>
      </c>
    </row>
    <row r="686" spans="2:19" ht="15.75" x14ac:dyDescent="0.25">
      <c r="B686" s="55">
        <f t="shared" si="129"/>
        <v>13</v>
      </c>
      <c r="C686" s="55" t="s">
        <v>1013</v>
      </c>
      <c r="D686" s="35" t="s">
        <v>1014</v>
      </c>
      <c r="E686" s="36">
        <v>42735</v>
      </c>
      <c r="F686" s="37">
        <v>6634.6880000000001</v>
      </c>
      <c r="G686" s="38">
        <v>10</v>
      </c>
      <c r="H686" s="39">
        <f t="shared" si="126"/>
        <v>663.46879999999999</v>
      </c>
      <c r="I686" s="37">
        <v>5968.3370000000004</v>
      </c>
      <c r="J686" s="37">
        <v>24460.569</v>
      </c>
      <c r="K686" s="37">
        <v>22854.024000000001</v>
      </c>
      <c r="L686" s="37">
        <v>927.18100000000004</v>
      </c>
      <c r="M686" s="37">
        <v>1180.0640000000001</v>
      </c>
      <c r="N686" s="39">
        <f t="shared" si="127"/>
        <v>525.27600000000007</v>
      </c>
      <c r="O686" s="37">
        <v>654.78800000000001</v>
      </c>
      <c r="P686" s="40">
        <v>0</v>
      </c>
      <c r="Q686" s="40">
        <v>0</v>
      </c>
      <c r="R686" s="41">
        <f t="shared" si="128"/>
        <v>0</v>
      </c>
      <c r="S686" s="42">
        <v>30114</v>
      </c>
    </row>
    <row r="687" spans="2:19" ht="15.75" x14ac:dyDescent="0.25">
      <c r="B687" s="55">
        <f t="shared" si="129"/>
        <v>14</v>
      </c>
      <c r="C687" s="55" t="s">
        <v>1015</v>
      </c>
      <c r="D687" s="35" t="s">
        <v>1016</v>
      </c>
      <c r="E687" s="36">
        <v>42551</v>
      </c>
      <c r="F687" s="37">
        <v>1247.8130000000001</v>
      </c>
      <c r="G687" s="38">
        <v>10</v>
      </c>
      <c r="H687" s="39">
        <f t="shared" si="126"/>
        <v>124.78130000000002</v>
      </c>
      <c r="I687" s="37">
        <v>2713.413</v>
      </c>
      <c r="J687" s="37">
        <v>4901.8230000000003</v>
      </c>
      <c r="K687" s="37">
        <v>1766.7429999999999</v>
      </c>
      <c r="L687" s="37">
        <v>117.59699999999999</v>
      </c>
      <c r="M687" s="37">
        <v>276.61200000000002</v>
      </c>
      <c r="N687" s="39">
        <f t="shared" si="127"/>
        <v>114.63100000000003</v>
      </c>
      <c r="O687" s="37">
        <v>161.98099999999999</v>
      </c>
      <c r="P687" s="40">
        <v>0</v>
      </c>
      <c r="Q687" s="40">
        <v>0</v>
      </c>
      <c r="R687" s="41">
        <f t="shared" si="128"/>
        <v>0</v>
      </c>
      <c r="S687" s="42">
        <v>2710</v>
      </c>
    </row>
    <row r="688" spans="2:19" ht="15.75" x14ac:dyDescent="0.25">
      <c r="B688" s="55">
        <f t="shared" si="129"/>
        <v>15</v>
      </c>
      <c r="C688" s="55" t="s">
        <v>1017</v>
      </c>
      <c r="D688" s="35" t="s">
        <v>1018</v>
      </c>
      <c r="E688" s="36">
        <v>42551</v>
      </c>
      <c r="F688" s="37">
        <v>923.59100000000001</v>
      </c>
      <c r="G688" s="38">
        <v>10</v>
      </c>
      <c r="H688" s="39">
        <f t="shared" si="126"/>
        <v>92.359099999999998</v>
      </c>
      <c r="I688" s="37">
        <v>14416.528</v>
      </c>
      <c r="J688" s="37">
        <v>30588.03</v>
      </c>
      <c r="K688" s="37">
        <v>36954.436999999998</v>
      </c>
      <c r="L688" s="37">
        <v>383.298</v>
      </c>
      <c r="M688" s="37">
        <v>3498.2660000000001</v>
      </c>
      <c r="N688" s="39">
        <f t="shared" si="127"/>
        <v>655.07999999999993</v>
      </c>
      <c r="O688" s="37">
        <v>2843.1860000000001</v>
      </c>
      <c r="P688" s="40">
        <f>65+90</f>
        <v>155</v>
      </c>
      <c r="Q688" s="40">
        <v>0</v>
      </c>
      <c r="R688" s="41">
        <f t="shared" si="128"/>
        <v>155</v>
      </c>
      <c r="S688" s="42">
        <v>10369</v>
      </c>
    </row>
    <row r="689" spans="2:19" ht="15.75" x14ac:dyDescent="0.25">
      <c r="B689" s="55">
        <f t="shared" si="129"/>
        <v>16</v>
      </c>
      <c r="C689" s="55" t="s">
        <v>1019</v>
      </c>
      <c r="D689" s="35" t="s">
        <v>1020</v>
      </c>
      <c r="E689" s="36">
        <v>42551</v>
      </c>
      <c r="F689" s="37">
        <v>650</v>
      </c>
      <c r="G689" s="38">
        <v>10</v>
      </c>
      <c r="H689" s="39">
        <f t="shared" si="126"/>
        <v>65</v>
      </c>
      <c r="I689" s="37">
        <v>1984.57</v>
      </c>
      <c r="J689" s="37">
        <v>6248.9359999999997</v>
      </c>
      <c r="K689" s="37">
        <v>4557.4399999999996</v>
      </c>
      <c r="L689" s="37">
        <v>165.249</v>
      </c>
      <c r="M689" s="37">
        <v>224.095</v>
      </c>
      <c r="N689" s="39">
        <f t="shared" si="127"/>
        <v>56.722000000000008</v>
      </c>
      <c r="O689" s="37">
        <v>167.37299999999999</v>
      </c>
      <c r="P689" s="40">
        <f>15</f>
        <v>15</v>
      </c>
      <c r="Q689" s="40">
        <v>0</v>
      </c>
      <c r="R689" s="41">
        <f t="shared" si="128"/>
        <v>15</v>
      </c>
      <c r="S689" s="42">
        <v>1003</v>
      </c>
    </row>
    <row r="690" spans="2:19" ht="15.75" x14ac:dyDescent="0.25">
      <c r="B690" s="55">
        <f t="shared" si="129"/>
        <v>17</v>
      </c>
      <c r="C690" s="55" t="s">
        <v>1021</v>
      </c>
      <c r="D690" s="35" t="s">
        <v>1022</v>
      </c>
      <c r="E690" s="36">
        <v>42735</v>
      </c>
      <c r="F690" s="37">
        <v>250.387</v>
      </c>
      <c r="G690" s="38">
        <v>10</v>
      </c>
      <c r="H690" s="39">
        <f t="shared" si="126"/>
        <v>25.038699999999999</v>
      </c>
      <c r="I690" s="37">
        <v>1813.3610000000001</v>
      </c>
      <c r="J690" s="37">
        <v>4937.6019999999999</v>
      </c>
      <c r="K690" s="37">
        <v>3954.6379999999999</v>
      </c>
      <c r="L690" s="37">
        <v>110.61</v>
      </c>
      <c r="M690" s="37">
        <v>309.589</v>
      </c>
      <c r="N690" s="39">
        <f t="shared" si="127"/>
        <v>92.703000000000003</v>
      </c>
      <c r="O690" s="37">
        <v>216.886</v>
      </c>
      <c r="P690" s="40">
        <f>15+35</f>
        <v>50</v>
      </c>
      <c r="Q690" s="40">
        <v>0</v>
      </c>
      <c r="R690" s="41">
        <f t="shared" si="128"/>
        <v>50</v>
      </c>
      <c r="S690" s="42">
        <v>1891</v>
      </c>
    </row>
    <row r="691" spans="2:19" ht="15.75" x14ac:dyDescent="0.25">
      <c r="B691" s="55">
        <f t="shared" si="129"/>
        <v>18</v>
      </c>
      <c r="C691" s="55" t="s">
        <v>1023</v>
      </c>
      <c r="D691" s="35" t="s">
        <v>1024</v>
      </c>
      <c r="E691" s="36">
        <v>42735</v>
      </c>
      <c r="F691" s="37">
        <v>15142.072</v>
      </c>
      <c r="G691" s="38">
        <v>10</v>
      </c>
      <c r="H691" s="39">
        <f t="shared" si="126"/>
        <v>1514.2072000000001</v>
      </c>
      <c r="I691" s="37">
        <v>10275.082</v>
      </c>
      <c r="J691" s="37">
        <v>17538.322</v>
      </c>
      <c r="K691" s="37">
        <v>34785.035000000003</v>
      </c>
      <c r="L691" s="37">
        <v>9.5389999999999997</v>
      </c>
      <c r="M691" s="37">
        <v>470.41</v>
      </c>
      <c r="N691" s="39">
        <f t="shared" si="127"/>
        <v>146.57900000000001</v>
      </c>
      <c r="O691" s="37">
        <v>323.83100000000002</v>
      </c>
      <c r="P691" s="40">
        <v>0</v>
      </c>
      <c r="Q691" s="40">
        <v>0</v>
      </c>
      <c r="R691" s="41">
        <f t="shared" si="128"/>
        <v>0</v>
      </c>
      <c r="S691" s="42">
        <v>16854</v>
      </c>
    </row>
    <row r="692" spans="2:19" ht="15.75" x14ac:dyDescent="0.25">
      <c r="B692" s="55">
        <f t="shared" si="129"/>
        <v>19</v>
      </c>
      <c r="C692" s="55" t="s">
        <v>1025</v>
      </c>
      <c r="D692" s="35" t="s">
        <v>1026</v>
      </c>
      <c r="E692" s="36">
        <v>42551</v>
      </c>
      <c r="F692" s="37">
        <v>75</v>
      </c>
      <c r="G692" s="38">
        <v>10</v>
      </c>
      <c r="H692" s="39">
        <f t="shared" si="126"/>
        <v>7.5</v>
      </c>
      <c r="I692" s="37">
        <v>74.227999999999994</v>
      </c>
      <c r="J692" s="37">
        <v>652.85</v>
      </c>
      <c r="K692" s="37">
        <v>727.66399999999999</v>
      </c>
      <c r="L692" s="37">
        <v>9.343</v>
      </c>
      <c r="M692" s="37">
        <v>10.625999999999999</v>
      </c>
      <c r="N692" s="39">
        <f t="shared" si="127"/>
        <v>7.8779999999999992</v>
      </c>
      <c r="O692" s="37">
        <v>2.7480000000000002</v>
      </c>
      <c r="P692" s="40">
        <v>0</v>
      </c>
      <c r="Q692" s="40">
        <v>0</v>
      </c>
      <c r="R692" s="41">
        <f t="shared" si="128"/>
        <v>0</v>
      </c>
      <c r="S692" s="42">
        <v>586</v>
      </c>
    </row>
    <row r="693" spans="2:19" ht="15.75" x14ac:dyDescent="0.25">
      <c r="B693" s="55">
        <f t="shared" si="129"/>
        <v>20</v>
      </c>
      <c r="C693" s="55" t="s">
        <v>1027</v>
      </c>
      <c r="D693" s="35" t="s">
        <v>1028</v>
      </c>
      <c r="E693" s="36">
        <v>42551</v>
      </c>
      <c r="F693" s="37">
        <v>1105.9054599999999</v>
      </c>
      <c r="G693" s="38">
        <v>10</v>
      </c>
      <c r="H693" s="39">
        <f t="shared" si="126"/>
        <v>110.59054599999999</v>
      </c>
      <c r="I693" s="37">
        <v>1787.861128</v>
      </c>
      <c r="J693" s="37">
        <v>4029.1416479999998</v>
      </c>
      <c r="K693" s="37">
        <v>5011.2685840000004</v>
      </c>
      <c r="L693" s="37">
        <v>90.519682000000003</v>
      </c>
      <c r="M693" s="37">
        <v>603.43513800000005</v>
      </c>
      <c r="N693" s="39">
        <f t="shared" si="127"/>
        <v>162.75148100000007</v>
      </c>
      <c r="O693" s="37">
        <v>440.68365699999998</v>
      </c>
      <c r="P693" s="40">
        <f>10+10</f>
        <v>20</v>
      </c>
      <c r="Q693" s="40">
        <v>0</v>
      </c>
      <c r="R693" s="41">
        <f t="shared" si="128"/>
        <v>20</v>
      </c>
      <c r="S693" s="42">
        <v>2184</v>
      </c>
    </row>
    <row r="694" spans="2:19" ht="15.75" x14ac:dyDescent="0.25">
      <c r="B694" s="55">
        <f t="shared" si="129"/>
        <v>21</v>
      </c>
      <c r="C694" s="55" t="s">
        <v>1029</v>
      </c>
      <c r="D694" s="35" t="s">
        <v>1030</v>
      </c>
      <c r="E694" s="36">
        <v>42735</v>
      </c>
      <c r="F694" s="37">
        <v>42.485999999999997</v>
      </c>
      <c r="G694" s="38">
        <v>10</v>
      </c>
      <c r="H694" s="39">
        <f t="shared" si="126"/>
        <v>4.2485999999999997</v>
      </c>
      <c r="I694" s="37">
        <v>348.73399999999998</v>
      </c>
      <c r="J694" s="37">
        <v>438.73700000000002</v>
      </c>
      <c r="K694" s="37">
        <v>486.45699999999999</v>
      </c>
      <c r="L694" s="37">
        <v>1.6870000000000001</v>
      </c>
      <c r="M694" s="37">
        <v>-90.786000000000001</v>
      </c>
      <c r="N694" s="39">
        <f t="shared" si="127"/>
        <v>4.164999999999992</v>
      </c>
      <c r="O694" s="37">
        <v>-94.950999999999993</v>
      </c>
      <c r="P694" s="40">
        <v>0</v>
      </c>
      <c r="Q694" s="40">
        <v>0</v>
      </c>
      <c r="R694" s="41">
        <f t="shared" si="128"/>
        <v>0</v>
      </c>
      <c r="S694" s="42">
        <v>426</v>
      </c>
    </row>
    <row r="695" spans="2:19" ht="15.75" x14ac:dyDescent="0.25">
      <c r="B695" s="55">
        <f t="shared" si="129"/>
        <v>22</v>
      </c>
      <c r="C695" s="55" t="s">
        <v>1031</v>
      </c>
      <c r="D695" s="35" t="s">
        <v>1032</v>
      </c>
      <c r="E695" s="36">
        <v>42551</v>
      </c>
      <c r="F695" s="37">
        <v>149.58000000000001</v>
      </c>
      <c r="G695" s="38">
        <v>10</v>
      </c>
      <c r="H695" s="39">
        <f t="shared" si="126"/>
        <v>14.958000000000002</v>
      </c>
      <c r="I695" s="37">
        <v>-304.03588999999999</v>
      </c>
      <c r="J695" s="37">
        <v>149.32699299999999</v>
      </c>
      <c r="K695" s="37">
        <v>7.0306810000000004</v>
      </c>
      <c r="L695" s="37">
        <v>7.2454660000000004</v>
      </c>
      <c r="M695" s="37">
        <v>-23.468039999999998</v>
      </c>
      <c r="N695" s="39">
        <f t="shared" si="127"/>
        <v>1.2458600000000004</v>
      </c>
      <c r="O695" s="37">
        <v>-24.713899999999999</v>
      </c>
      <c r="P695" s="40">
        <v>0</v>
      </c>
      <c r="Q695" s="40">
        <v>0</v>
      </c>
      <c r="R695" s="41">
        <f t="shared" si="128"/>
        <v>0</v>
      </c>
      <c r="S695" s="42">
        <v>612</v>
      </c>
    </row>
    <row r="696" spans="2:19" ht="15.75" x14ac:dyDescent="0.25">
      <c r="B696" s="55">
        <f t="shared" si="129"/>
        <v>23</v>
      </c>
      <c r="C696" s="55" t="s">
        <v>1033</v>
      </c>
      <c r="D696" s="35" t="s">
        <v>1034</v>
      </c>
      <c r="E696" s="36">
        <v>42551</v>
      </c>
      <c r="F696" s="37">
        <v>60</v>
      </c>
      <c r="G696" s="38">
        <v>10</v>
      </c>
      <c r="H696" s="39">
        <f t="shared" si="126"/>
        <v>6</v>
      </c>
      <c r="I696" s="37">
        <v>114.394035</v>
      </c>
      <c r="J696" s="37">
        <v>157.54399100000001</v>
      </c>
      <c r="K696" s="37">
        <v>195.55659700000001</v>
      </c>
      <c r="L696" s="37">
        <v>3.5621239999999998</v>
      </c>
      <c r="M696" s="37">
        <v>4.4617620000000002</v>
      </c>
      <c r="N696" s="39">
        <f t="shared" si="127"/>
        <v>0.69229000000000029</v>
      </c>
      <c r="O696" s="37">
        <v>3.7694719999999999</v>
      </c>
      <c r="P696" s="40">
        <f>5</f>
        <v>5</v>
      </c>
      <c r="Q696" s="40">
        <v>0</v>
      </c>
      <c r="R696" s="41">
        <f t="shared" si="128"/>
        <v>5</v>
      </c>
      <c r="S696" s="42">
        <v>1994</v>
      </c>
    </row>
    <row r="697" spans="2:19" ht="15.75" x14ac:dyDescent="0.25">
      <c r="B697" s="55">
        <f t="shared" si="129"/>
        <v>24</v>
      </c>
      <c r="C697" s="55" t="s">
        <v>1035</v>
      </c>
      <c r="D697" s="35" t="s">
        <v>1036</v>
      </c>
      <c r="E697" s="36">
        <v>42551</v>
      </c>
      <c r="F697" s="37">
        <v>120</v>
      </c>
      <c r="G697" s="38">
        <v>10</v>
      </c>
      <c r="H697" s="39">
        <f t="shared" si="126"/>
        <v>12</v>
      </c>
      <c r="I697" s="37">
        <v>-4.4633050000000001</v>
      </c>
      <c r="J697" s="37">
        <v>49.255020999999999</v>
      </c>
      <c r="K697" s="37">
        <v>0</v>
      </c>
      <c r="L697" s="37">
        <v>0.97144900000000001</v>
      </c>
      <c r="M697" s="37">
        <v>14.793946</v>
      </c>
      <c r="N697" s="39">
        <f t="shared" si="127"/>
        <v>-4.455800000000032E-2</v>
      </c>
      <c r="O697" s="37">
        <v>14.838504</v>
      </c>
      <c r="P697" s="40">
        <v>0</v>
      </c>
      <c r="Q697" s="40">
        <v>0</v>
      </c>
      <c r="R697" s="41">
        <f t="shared" si="128"/>
        <v>0</v>
      </c>
      <c r="S697" s="42">
        <v>980</v>
      </c>
    </row>
    <row r="698" spans="2:19" ht="15.75" x14ac:dyDescent="0.25">
      <c r="B698" s="55">
        <f t="shared" si="129"/>
        <v>25</v>
      </c>
      <c r="C698" s="55" t="s">
        <v>1037</v>
      </c>
      <c r="D698" s="35" t="s">
        <v>1038</v>
      </c>
      <c r="E698" s="36">
        <v>42551</v>
      </c>
      <c r="F698" s="37">
        <v>214.29407</v>
      </c>
      <c r="G698" s="38">
        <v>10</v>
      </c>
      <c r="H698" s="39">
        <f t="shared" si="126"/>
        <v>21.429407000000001</v>
      </c>
      <c r="I698" s="37">
        <v>7535.4072429999997</v>
      </c>
      <c r="J698" s="37">
        <v>17855.202764000001</v>
      </c>
      <c r="K698" s="37">
        <v>9813.7783749999999</v>
      </c>
      <c r="L698" s="37">
        <v>250.950254</v>
      </c>
      <c r="M698" s="37">
        <v>1123.0568209999999</v>
      </c>
      <c r="N698" s="39">
        <f t="shared" si="127"/>
        <v>353.83528199999989</v>
      </c>
      <c r="O698" s="37">
        <v>769.22153900000001</v>
      </c>
      <c r="P698" s="40">
        <f>115</f>
        <v>115</v>
      </c>
      <c r="Q698" s="40">
        <v>0</v>
      </c>
      <c r="R698" s="41">
        <f t="shared" si="128"/>
        <v>115</v>
      </c>
      <c r="S698" s="42">
        <v>1790</v>
      </c>
    </row>
    <row r="699" spans="2:19" ht="15.75" x14ac:dyDescent="0.25">
      <c r="B699" s="55">
        <f t="shared" si="129"/>
        <v>26</v>
      </c>
      <c r="C699" s="55" t="s">
        <v>1039</v>
      </c>
      <c r="D699" s="35" t="s">
        <v>1040</v>
      </c>
      <c r="E699" s="36">
        <v>42551</v>
      </c>
      <c r="F699" s="37">
        <v>551</v>
      </c>
      <c r="G699" s="38">
        <v>10</v>
      </c>
      <c r="H699" s="39">
        <f t="shared" si="126"/>
        <v>55.1</v>
      </c>
      <c r="I699" s="37">
        <v>369.84308700000003</v>
      </c>
      <c r="J699" s="37">
        <v>3156.7961780000001</v>
      </c>
      <c r="K699" s="37">
        <v>1310.0364050000001</v>
      </c>
      <c r="L699" s="37">
        <v>88.946235000000001</v>
      </c>
      <c r="M699" s="37">
        <v>27.001415999999999</v>
      </c>
      <c r="N699" s="39">
        <f t="shared" si="127"/>
        <v>10.297094999999999</v>
      </c>
      <c r="O699" s="37">
        <v>16.704321</v>
      </c>
      <c r="P699" s="40">
        <v>0</v>
      </c>
      <c r="Q699" s="40">
        <v>0</v>
      </c>
      <c r="R699" s="41">
        <f t="shared" si="128"/>
        <v>0</v>
      </c>
      <c r="S699" s="42">
        <v>8377</v>
      </c>
    </row>
    <row r="700" spans="2:19" ht="15.75" x14ac:dyDescent="0.25">
      <c r="B700" s="55">
        <f t="shared" si="129"/>
        <v>27</v>
      </c>
      <c r="C700" s="55" t="s">
        <v>1041</v>
      </c>
      <c r="D700" s="35" t="s">
        <v>1042</v>
      </c>
      <c r="E700" s="36">
        <v>42551</v>
      </c>
      <c r="F700" s="37">
        <v>90</v>
      </c>
      <c r="G700" s="38">
        <v>10</v>
      </c>
      <c r="H700" s="39">
        <f t="shared" si="126"/>
        <v>9</v>
      </c>
      <c r="I700" s="37">
        <v>561.76370099999997</v>
      </c>
      <c r="J700" s="37">
        <v>873.33863799999995</v>
      </c>
      <c r="K700" s="37">
        <v>1181.51775</v>
      </c>
      <c r="L700" s="37">
        <v>14.975505</v>
      </c>
      <c r="M700" s="37">
        <v>120.084799</v>
      </c>
      <c r="N700" s="39">
        <f t="shared" si="127"/>
        <v>41.615541000000007</v>
      </c>
      <c r="O700" s="37">
        <v>78.469257999999996</v>
      </c>
      <c r="P700" s="40">
        <f>40</f>
        <v>40</v>
      </c>
      <c r="Q700" s="40">
        <v>0</v>
      </c>
      <c r="R700" s="41">
        <f t="shared" si="128"/>
        <v>40</v>
      </c>
      <c r="S700" s="42">
        <v>897</v>
      </c>
    </row>
    <row r="701" spans="2:19" ht="15.75" x14ac:dyDescent="0.25">
      <c r="B701" s="70"/>
      <c r="C701" s="70"/>
      <c r="D701" s="77"/>
      <c r="E701" s="64"/>
      <c r="F701" s="78"/>
      <c r="G701" s="43"/>
      <c r="H701" s="79"/>
      <c r="I701" s="78"/>
      <c r="J701" s="78"/>
      <c r="K701" s="78"/>
      <c r="L701" s="78"/>
      <c r="M701" s="78"/>
      <c r="N701" s="79"/>
      <c r="O701" s="78"/>
      <c r="P701" s="80"/>
      <c r="Q701" s="80"/>
      <c r="R701" s="81"/>
      <c r="S701" s="82"/>
    </row>
    <row r="702" spans="2:19" ht="15.75" x14ac:dyDescent="0.25">
      <c r="B702" s="34">
        <f>COUNT(B674:B701)</f>
        <v>27</v>
      </c>
      <c r="C702" s="34"/>
      <c r="D702" s="48"/>
      <c r="E702" s="48"/>
      <c r="F702" s="48">
        <f>SUM(F674:F701)</f>
        <v>35089.717875000002</v>
      </c>
      <c r="G702" s="49"/>
      <c r="H702" s="50">
        <f t="shared" ref="H702:O702" si="130">SUM(H674:H701)</f>
        <v>3618.1869219999999</v>
      </c>
      <c r="I702" s="48">
        <f t="shared" si="130"/>
        <v>65734.101161999992</v>
      </c>
      <c r="J702" s="48">
        <f t="shared" si="130"/>
        <v>202351.42954499999</v>
      </c>
      <c r="K702" s="48">
        <f t="shared" si="130"/>
        <v>186749.92975299997</v>
      </c>
      <c r="L702" s="48">
        <f t="shared" si="130"/>
        <v>4768.6624890000003</v>
      </c>
      <c r="M702" s="48">
        <f t="shared" si="130"/>
        <v>14532.527317</v>
      </c>
      <c r="N702" s="51">
        <f t="shared" si="130"/>
        <v>5437.4690600000004</v>
      </c>
      <c r="O702" s="48">
        <f t="shared" si="130"/>
        <v>9095.058256999997</v>
      </c>
      <c r="P702" s="52"/>
      <c r="Q702" s="52"/>
      <c r="R702" s="53"/>
      <c r="S702" s="54">
        <f>SUM(S674:S701)</f>
        <v>112274</v>
      </c>
    </row>
    <row r="703" spans="2:19" ht="15.75" x14ac:dyDescent="0.25">
      <c r="B703" s="29"/>
      <c r="C703" s="29"/>
      <c r="D703" s="29"/>
      <c r="E703" s="29"/>
      <c r="F703" s="29"/>
      <c r="G703" s="43"/>
      <c r="H703" s="44"/>
      <c r="I703" s="31"/>
      <c r="J703" s="31"/>
      <c r="K703" s="31"/>
      <c r="L703" s="31"/>
      <c r="M703" s="31"/>
      <c r="N703" s="45"/>
      <c r="O703" s="31"/>
      <c r="P703" s="31"/>
      <c r="Q703" s="31"/>
      <c r="R703" s="45"/>
      <c r="S703" s="31"/>
    </row>
    <row r="704" spans="2:19" ht="15.75" x14ac:dyDescent="0.25">
      <c r="B704" s="29"/>
      <c r="C704" s="29"/>
      <c r="D704" s="29"/>
      <c r="E704" s="29"/>
      <c r="F704" s="29"/>
      <c r="G704" s="43"/>
      <c r="H704" s="44"/>
      <c r="I704" s="31"/>
      <c r="J704" s="31"/>
      <c r="K704" s="31"/>
      <c r="L704" s="31"/>
      <c r="M704" s="31"/>
      <c r="N704" s="45"/>
      <c r="O704" s="31"/>
      <c r="P704" s="31"/>
      <c r="Q704" s="31"/>
      <c r="R704" s="45"/>
      <c r="S704" s="31"/>
    </row>
    <row r="705" spans="2:19" ht="18.75" x14ac:dyDescent="0.3">
      <c r="B705" s="29"/>
      <c r="C705" s="33">
        <v>30</v>
      </c>
      <c r="D705" s="33" t="s">
        <v>1043</v>
      </c>
      <c r="E705" s="61"/>
      <c r="F705" s="61"/>
      <c r="G705" s="43"/>
      <c r="H705" s="44"/>
      <c r="I705" s="31"/>
      <c r="J705" s="31"/>
      <c r="K705" s="31"/>
      <c r="L705" s="31"/>
      <c r="M705" s="31"/>
      <c r="N705" s="45"/>
      <c r="O705" s="31"/>
      <c r="P705" s="31"/>
      <c r="Q705" s="31"/>
      <c r="R705" s="45"/>
      <c r="S705" s="31"/>
    </row>
    <row r="706" spans="2:19" ht="15.75" x14ac:dyDescent="0.25">
      <c r="B706" s="29"/>
      <c r="C706" s="29"/>
      <c r="D706" s="29"/>
      <c r="E706" s="29"/>
      <c r="F706" s="29"/>
      <c r="G706" s="43"/>
      <c r="H706" s="44"/>
      <c r="I706" s="31"/>
      <c r="J706" s="31"/>
      <c r="K706" s="31"/>
      <c r="L706" s="31"/>
      <c r="M706" s="31"/>
      <c r="N706" s="45"/>
      <c r="O706" s="31"/>
      <c r="P706" s="31"/>
      <c r="Q706" s="31"/>
      <c r="R706" s="45"/>
      <c r="S706" s="31"/>
    </row>
    <row r="707" spans="2:19" ht="15.75" x14ac:dyDescent="0.25">
      <c r="B707" s="34">
        <v>1</v>
      </c>
      <c r="C707" s="34" t="s">
        <v>1044</v>
      </c>
      <c r="D707" s="35" t="s">
        <v>1045</v>
      </c>
      <c r="E707" s="36">
        <v>42551</v>
      </c>
      <c r="F707" s="37">
        <v>30</v>
      </c>
      <c r="G707" s="38">
        <v>5</v>
      </c>
      <c r="H707" s="39">
        <f t="shared" ref="H707:H713" si="131">+F707/G707</f>
        <v>6</v>
      </c>
      <c r="I707" s="37">
        <v>-6.4660000000000002</v>
      </c>
      <c r="J707" s="37">
        <v>12.32</v>
      </c>
      <c r="K707" s="37">
        <v>0</v>
      </c>
      <c r="L707" s="37">
        <v>0.13</v>
      </c>
      <c r="M707" s="37">
        <v>0.34100000000000003</v>
      </c>
      <c r="N707" s="39">
        <f t="shared" ref="N707:N713" si="132">+M707-O707</f>
        <v>0.10900000000000001</v>
      </c>
      <c r="O707" s="37">
        <v>0.23200000000000001</v>
      </c>
      <c r="P707" s="40">
        <v>0</v>
      </c>
      <c r="Q707" s="40">
        <v>0</v>
      </c>
      <c r="R707" s="41">
        <f t="shared" ref="R707:R713" si="133">SUM(P707:Q707)</f>
        <v>0</v>
      </c>
      <c r="S707" s="42">
        <v>1321</v>
      </c>
    </row>
    <row r="708" spans="2:19" ht="15.75" x14ac:dyDescent="0.25">
      <c r="B708" s="34">
        <f t="shared" ref="B708:B713" si="134">+B707+1</f>
        <v>2</v>
      </c>
      <c r="C708" s="55" t="s">
        <v>1046</v>
      </c>
      <c r="D708" s="35" t="s">
        <v>1047</v>
      </c>
      <c r="E708" s="36">
        <v>42551</v>
      </c>
      <c r="F708" s="37">
        <v>1470.184</v>
      </c>
      <c r="G708" s="38">
        <v>10</v>
      </c>
      <c r="H708" s="39">
        <f t="shared" si="131"/>
        <v>147.01839999999999</v>
      </c>
      <c r="I708" s="37">
        <v>5850.5659999999998</v>
      </c>
      <c r="J708" s="37">
        <v>14980.749</v>
      </c>
      <c r="K708" s="37">
        <v>13389.13</v>
      </c>
      <c r="L708" s="37">
        <v>355.75099999999998</v>
      </c>
      <c r="M708" s="37">
        <v>436.37599999999998</v>
      </c>
      <c r="N708" s="39">
        <f t="shared" si="132"/>
        <v>113.98499999999996</v>
      </c>
      <c r="O708" s="37">
        <v>322.39100000000002</v>
      </c>
      <c r="P708" s="40">
        <v>0</v>
      </c>
      <c r="Q708" s="40">
        <v>0</v>
      </c>
      <c r="R708" s="41">
        <f t="shared" si="133"/>
        <v>0</v>
      </c>
      <c r="S708" s="42">
        <v>1966</v>
      </c>
    </row>
    <row r="709" spans="2:19" ht="15.75" x14ac:dyDescent="0.25">
      <c r="B709" s="34">
        <f t="shared" si="134"/>
        <v>3</v>
      </c>
      <c r="C709" s="34" t="s">
        <v>1048</v>
      </c>
      <c r="D709" s="35" t="s">
        <v>1049</v>
      </c>
      <c r="E709" s="36">
        <v>42551</v>
      </c>
      <c r="F709" s="37">
        <v>296.05500000000001</v>
      </c>
      <c r="G709" s="38">
        <v>10</v>
      </c>
      <c r="H709" s="39">
        <f t="shared" si="131"/>
        <v>29.605499999999999</v>
      </c>
      <c r="I709" s="37">
        <v>3316.2910000000002</v>
      </c>
      <c r="J709" s="37">
        <v>4684.7139999999999</v>
      </c>
      <c r="K709" s="37">
        <v>6888.6049999999996</v>
      </c>
      <c r="L709" s="37">
        <v>72.403999999999996</v>
      </c>
      <c r="M709" s="37">
        <v>1307.991</v>
      </c>
      <c r="N709" s="39">
        <f t="shared" si="132"/>
        <v>389.75199999999995</v>
      </c>
      <c r="O709" s="37">
        <v>918.23900000000003</v>
      </c>
      <c r="P709" s="40">
        <f>30+70</f>
        <v>100</v>
      </c>
      <c r="Q709" s="40">
        <v>0</v>
      </c>
      <c r="R709" s="41">
        <f t="shared" si="133"/>
        <v>100</v>
      </c>
      <c r="S709" s="42">
        <v>1303</v>
      </c>
    </row>
    <row r="710" spans="2:19" ht="15.75" x14ac:dyDescent="0.25">
      <c r="B710" s="34">
        <f t="shared" si="134"/>
        <v>4</v>
      </c>
      <c r="C710" s="34" t="s">
        <v>1050</v>
      </c>
      <c r="D710" s="35" t="s">
        <v>1051</v>
      </c>
      <c r="E710" s="36">
        <v>42551</v>
      </c>
      <c r="F710" s="37">
        <v>403.14199000000002</v>
      </c>
      <c r="G710" s="38">
        <v>10</v>
      </c>
      <c r="H710" s="39">
        <f t="shared" si="131"/>
        <v>40.314199000000002</v>
      </c>
      <c r="I710" s="37">
        <v>366.14389699999998</v>
      </c>
      <c r="J710" s="37">
        <v>2409.3008209999998</v>
      </c>
      <c r="K710" s="37">
        <v>1606.8684699999999</v>
      </c>
      <c r="L710" s="37">
        <v>72.738307000000006</v>
      </c>
      <c r="M710" s="37">
        <v>9.5219090000000008</v>
      </c>
      <c r="N710" s="39">
        <f t="shared" si="132"/>
        <v>6.3546460000000007</v>
      </c>
      <c r="O710" s="37">
        <v>3.1672630000000002</v>
      </c>
      <c r="P710" s="40">
        <v>0</v>
      </c>
      <c r="Q710" s="40">
        <v>0</v>
      </c>
      <c r="R710" s="41">
        <f t="shared" si="133"/>
        <v>0</v>
      </c>
      <c r="S710" s="42">
        <v>1723</v>
      </c>
    </row>
    <row r="711" spans="2:19" ht="15.75" x14ac:dyDescent="0.25">
      <c r="B711" s="34">
        <f t="shared" si="134"/>
        <v>5</v>
      </c>
      <c r="C711" s="34" t="s">
        <v>1052</v>
      </c>
      <c r="D711" s="35" t="s">
        <v>1053</v>
      </c>
      <c r="E711" s="36">
        <v>42735</v>
      </c>
      <c r="F711" s="37">
        <v>893.79499999999996</v>
      </c>
      <c r="G711" s="38">
        <v>10</v>
      </c>
      <c r="H711" s="39">
        <f t="shared" si="131"/>
        <v>89.379499999999993</v>
      </c>
      <c r="I711" s="37">
        <v>52784.47</v>
      </c>
      <c r="J711" s="37">
        <v>62147.841</v>
      </c>
      <c r="K711" s="37">
        <v>16839.32</v>
      </c>
      <c r="L711" s="37">
        <v>1307.5050000000001</v>
      </c>
      <c r="M711" s="37">
        <v>6961.491</v>
      </c>
      <c r="N711" s="39">
        <f t="shared" si="132"/>
        <v>1365.7619999999997</v>
      </c>
      <c r="O711" s="37">
        <v>5595.7290000000003</v>
      </c>
      <c r="P711" s="40">
        <v>250</v>
      </c>
      <c r="Q711" s="40">
        <v>0</v>
      </c>
      <c r="R711" s="41">
        <f t="shared" si="133"/>
        <v>250</v>
      </c>
      <c r="S711" s="42">
        <v>3940</v>
      </c>
    </row>
    <row r="712" spans="2:19" ht="15.75" x14ac:dyDescent="0.25">
      <c r="B712" s="34">
        <f t="shared" si="134"/>
        <v>6</v>
      </c>
      <c r="C712" s="55" t="s">
        <v>1054</v>
      </c>
      <c r="D712" s="35" t="s">
        <v>1055</v>
      </c>
      <c r="E712" s="36">
        <v>42551</v>
      </c>
      <c r="F712" s="37">
        <v>60</v>
      </c>
      <c r="G712" s="38">
        <v>10</v>
      </c>
      <c r="H712" s="39">
        <f t="shared" si="131"/>
        <v>6</v>
      </c>
      <c r="I712" s="37">
        <v>344.54594400000002</v>
      </c>
      <c r="J712" s="37">
        <v>723.18625999999995</v>
      </c>
      <c r="K712" s="37">
        <v>613.67246699999998</v>
      </c>
      <c r="L712" s="37">
        <v>7.2554210000000001</v>
      </c>
      <c r="M712" s="37">
        <v>62.572330999999998</v>
      </c>
      <c r="N712" s="39">
        <f t="shared" si="132"/>
        <v>24.206645000000002</v>
      </c>
      <c r="O712" s="37">
        <v>38.365685999999997</v>
      </c>
      <c r="P712" s="40">
        <f>30</f>
        <v>30</v>
      </c>
      <c r="Q712" s="40">
        <v>0</v>
      </c>
      <c r="R712" s="41">
        <f t="shared" si="133"/>
        <v>30</v>
      </c>
      <c r="S712" s="42">
        <v>819</v>
      </c>
    </row>
    <row r="713" spans="2:19" ht="15.75" x14ac:dyDescent="0.25">
      <c r="B713" s="34">
        <f t="shared" si="134"/>
        <v>7</v>
      </c>
      <c r="C713" s="55" t="s">
        <v>1056</v>
      </c>
      <c r="D713" s="35" t="s">
        <v>1057</v>
      </c>
      <c r="E713" s="36">
        <v>42551</v>
      </c>
      <c r="F713" s="37">
        <v>592.55899999999997</v>
      </c>
      <c r="G713" s="38">
        <v>10</v>
      </c>
      <c r="H713" s="39">
        <f t="shared" si="131"/>
        <v>59.255899999999997</v>
      </c>
      <c r="I713" s="37">
        <v>4249.4889999999996</v>
      </c>
      <c r="J713" s="37">
        <v>5272.6130000000003</v>
      </c>
      <c r="K713" s="37">
        <v>2583.5659999999998</v>
      </c>
      <c r="L713" s="37">
        <v>11.244</v>
      </c>
      <c r="M713" s="37">
        <v>913.41800000000001</v>
      </c>
      <c r="N713" s="39">
        <f t="shared" si="132"/>
        <v>282.54700000000003</v>
      </c>
      <c r="O713" s="37">
        <v>630.87099999999998</v>
      </c>
      <c r="P713" s="40">
        <f>75</f>
        <v>75</v>
      </c>
      <c r="Q713" s="40">
        <v>0</v>
      </c>
      <c r="R713" s="41">
        <f t="shared" si="133"/>
        <v>75</v>
      </c>
      <c r="S713" s="42">
        <v>1752</v>
      </c>
    </row>
    <row r="714" spans="2:19" ht="15.75" x14ac:dyDescent="0.25">
      <c r="B714" s="29"/>
      <c r="C714" s="29"/>
      <c r="D714" s="29"/>
      <c r="E714" s="29"/>
      <c r="F714" s="29"/>
      <c r="G714" s="43"/>
      <c r="H714" s="44"/>
      <c r="I714" s="31"/>
      <c r="J714" s="31"/>
      <c r="K714" s="31"/>
      <c r="L714" s="31"/>
      <c r="M714" s="31"/>
      <c r="N714" s="45"/>
      <c r="O714" s="31"/>
      <c r="P714" s="31"/>
      <c r="Q714" s="31"/>
      <c r="R714" s="45"/>
      <c r="S714" s="31"/>
    </row>
    <row r="715" spans="2:19" ht="18.75" x14ac:dyDescent="0.3">
      <c r="B715" s="29"/>
      <c r="C715" s="29"/>
      <c r="D715" s="57" t="s">
        <v>45</v>
      </c>
      <c r="E715" s="29"/>
      <c r="F715" s="29"/>
      <c r="G715" s="43"/>
      <c r="H715" s="44"/>
      <c r="I715" s="31"/>
      <c r="J715" s="31"/>
      <c r="K715" s="31"/>
      <c r="L715" s="31"/>
      <c r="M715" s="31"/>
      <c r="N715" s="45"/>
      <c r="O715" s="31"/>
      <c r="P715" s="31"/>
      <c r="Q715" s="31"/>
      <c r="R715" s="45"/>
      <c r="S715" s="31"/>
    </row>
    <row r="716" spans="2:19" ht="15.75" x14ac:dyDescent="0.25">
      <c r="B716" s="55">
        <v>1</v>
      </c>
      <c r="C716" s="55" t="s">
        <v>1058</v>
      </c>
      <c r="D716" s="35" t="s">
        <v>1059</v>
      </c>
      <c r="E716" s="36">
        <v>42551</v>
      </c>
      <c r="F716" s="37"/>
      <c r="G716" s="38">
        <v>10</v>
      </c>
      <c r="H716" s="37">
        <f>+F716/G716</f>
        <v>0</v>
      </c>
      <c r="I716" s="37"/>
      <c r="J716" s="37"/>
      <c r="K716" s="37"/>
      <c r="L716" s="37"/>
      <c r="M716" s="37"/>
      <c r="N716" s="37">
        <f>+M716-O716</f>
        <v>0</v>
      </c>
      <c r="O716" s="37"/>
      <c r="P716" s="40"/>
      <c r="Q716" s="40"/>
      <c r="R716" s="40">
        <f>SUM(P716:Q716)</f>
        <v>0</v>
      </c>
      <c r="S716" s="42"/>
    </row>
    <row r="717" spans="2:19" ht="15.75" x14ac:dyDescent="0.25">
      <c r="B717" s="55">
        <f>+B716+1</f>
        <v>2</v>
      </c>
      <c r="C717" s="34" t="s">
        <v>1060</v>
      </c>
      <c r="D717" s="35" t="s">
        <v>1061</v>
      </c>
      <c r="E717" s="36">
        <v>42551</v>
      </c>
      <c r="F717" s="37">
        <v>40</v>
      </c>
      <c r="G717" s="38">
        <v>10</v>
      </c>
      <c r="H717" s="37">
        <f>+F717/G717</f>
        <v>4</v>
      </c>
      <c r="I717" s="37">
        <v>19.753869000000002</v>
      </c>
      <c r="J717" s="37">
        <v>206.26175599999999</v>
      </c>
      <c r="K717" s="37">
        <v>0</v>
      </c>
      <c r="L717" s="37">
        <v>4.9835399999999996</v>
      </c>
      <c r="M717" s="37">
        <v>-6.4779439999999999</v>
      </c>
      <c r="N717" s="39">
        <f>+M717-O717</f>
        <v>-3.5174369999999997</v>
      </c>
      <c r="O717" s="37">
        <v>-2.9605070000000002</v>
      </c>
      <c r="P717" s="40">
        <v>0</v>
      </c>
      <c r="Q717" s="40">
        <v>0</v>
      </c>
      <c r="R717" s="40">
        <f>SUM(P717:Q717)</f>
        <v>0</v>
      </c>
      <c r="S717" s="42">
        <v>88</v>
      </c>
    </row>
    <row r="718" spans="2:19" ht="15.75" x14ac:dyDescent="0.25">
      <c r="B718" s="29"/>
      <c r="C718" s="29"/>
      <c r="D718" s="29"/>
      <c r="E718" s="29"/>
      <c r="F718" s="29"/>
      <c r="G718" s="43"/>
      <c r="H718" s="44"/>
      <c r="I718" s="31"/>
      <c r="J718" s="31"/>
      <c r="K718" s="31"/>
      <c r="L718" s="31"/>
      <c r="M718" s="31"/>
      <c r="N718" s="45"/>
      <c r="O718" s="31"/>
      <c r="P718" s="31"/>
      <c r="Q718" s="31"/>
      <c r="R718" s="45"/>
      <c r="S718" s="31"/>
    </row>
    <row r="719" spans="2:19" ht="15.75" x14ac:dyDescent="0.25">
      <c r="B719" s="34">
        <f>COUNT(B707:B718)</f>
        <v>9</v>
      </c>
      <c r="C719" s="34"/>
      <c r="D719" s="48"/>
      <c r="E719" s="48"/>
      <c r="F719" s="48">
        <f>SUM(F707:F718)</f>
        <v>3785.7349899999999</v>
      </c>
      <c r="G719" s="49"/>
      <c r="H719" s="50">
        <f t="shared" ref="H719:O719" si="135">SUM(H707:H718)</f>
        <v>381.57349899999997</v>
      </c>
      <c r="I719" s="48">
        <f t="shared" si="135"/>
        <v>66924.793709999984</v>
      </c>
      <c r="J719" s="48">
        <f t="shared" si="135"/>
        <v>90436.985837</v>
      </c>
      <c r="K719" s="48">
        <f t="shared" si="135"/>
        <v>41921.161936999997</v>
      </c>
      <c r="L719" s="48">
        <f t="shared" si="135"/>
        <v>1832.011268</v>
      </c>
      <c r="M719" s="48">
        <f t="shared" si="135"/>
        <v>9685.2332959999985</v>
      </c>
      <c r="N719" s="51">
        <f t="shared" si="135"/>
        <v>2179.1988539999998</v>
      </c>
      <c r="O719" s="48">
        <f t="shared" si="135"/>
        <v>7506.034442000001</v>
      </c>
      <c r="P719" s="52"/>
      <c r="Q719" s="52"/>
      <c r="R719" s="53"/>
      <c r="S719" s="54">
        <f>SUM(S707:S718)</f>
        <v>12912</v>
      </c>
    </row>
    <row r="720" spans="2:19" ht="15.75" x14ac:dyDescent="0.25">
      <c r="B720" s="29"/>
      <c r="C720" s="29"/>
      <c r="D720" s="29"/>
      <c r="E720" s="29"/>
      <c r="F720" s="29"/>
      <c r="G720" s="43"/>
      <c r="H720" s="44"/>
      <c r="I720" s="31"/>
      <c r="J720" s="31"/>
      <c r="K720" s="31"/>
      <c r="L720" s="31"/>
      <c r="M720" s="31"/>
      <c r="N720" s="45"/>
      <c r="O720" s="31"/>
      <c r="P720" s="31"/>
      <c r="Q720" s="31"/>
      <c r="R720" s="45"/>
      <c r="S720" s="31"/>
    </row>
    <row r="721" spans="2:19" ht="15.75" x14ac:dyDescent="0.25">
      <c r="B721" s="29"/>
      <c r="C721" s="29"/>
      <c r="D721" s="29"/>
      <c r="E721" s="29"/>
      <c r="F721" s="29"/>
      <c r="G721" s="43"/>
      <c r="H721" s="44"/>
      <c r="I721" s="31"/>
      <c r="J721" s="31"/>
      <c r="K721" s="31"/>
      <c r="L721" s="31"/>
      <c r="M721" s="31"/>
      <c r="N721" s="45"/>
      <c r="O721" s="31"/>
      <c r="P721" s="31"/>
      <c r="Q721" s="31"/>
      <c r="R721" s="45"/>
      <c r="S721" s="31"/>
    </row>
    <row r="722" spans="2:19" ht="18.75" x14ac:dyDescent="0.3">
      <c r="B722" s="29"/>
      <c r="C722" s="33">
        <v>31</v>
      </c>
      <c r="D722" s="33" t="s">
        <v>1062</v>
      </c>
      <c r="E722" s="61"/>
      <c r="F722" s="61"/>
      <c r="G722" s="43"/>
      <c r="H722" s="44"/>
      <c r="I722" s="31"/>
      <c r="J722" s="31"/>
      <c r="K722" s="31"/>
      <c r="L722" s="31"/>
      <c r="M722" s="31"/>
      <c r="N722" s="45"/>
      <c r="O722" s="31"/>
      <c r="P722" s="31"/>
      <c r="Q722" s="31"/>
      <c r="R722" s="45"/>
      <c r="S722" s="31"/>
    </row>
    <row r="723" spans="2:19" ht="15.75" x14ac:dyDescent="0.25">
      <c r="B723" s="29"/>
      <c r="C723" s="29"/>
      <c r="D723" s="29"/>
      <c r="E723" s="29"/>
      <c r="F723" s="29"/>
      <c r="G723" s="43"/>
      <c r="H723" s="44"/>
      <c r="I723" s="31"/>
      <c r="J723" s="31"/>
      <c r="K723" s="31"/>
      <c r="L723" s="31"/>
      <c r="M723" s="31"/>
      <c r="N723" s="45"/>
      <c r="O723" s="31"/>
      <c r="P723" s="31"/>
      <c r="Q723" s="31"/>
      <c r="R723" s="45"/>
      <c r="S723" s="31"/>
    </row>
    <row r="724" spans="2:19" ht="15.75" x14ac:dyDescent="0.25">
      <c r="B724" s="34">
        <v>1</v>
      </c>
      <c r="C724" s="34" t="s">
        <v>1063</v>
      </c>
      <c r="D724" s="35" t="s">
        <v>1064</v>
      </c>
      <c r="E724" s="36">
        <v>42551</v>
      </c>
      <c r="F724" s="37">
        <v>53.90652</v>
      </c>
      <c r="G724" s="38">
        <v>10</v>
      </c>
      <c r="H724" s="39">
        <f>+F724/G724</f>
        <v>5.3906520000000002</v>
      </c>
      <c r="I724" s="37">
        <v>654.59950500000002</v>
      </c>
      <c r="J724" s="37">
        <v>1726.2496309999999</v>
      </c>
      <c r="K724" s="37">
        <v>4210.6076249999996</v>
      </c>
      <c r="L724" s="37">
        <v>2.7220520000000001</v>
      </c>
      <c r="M724" s="37">
        <v>321.40978799999999</v>
      </c>
      <c r="N724" s="39">
        <f>+M724-O724</f>
        <v>115.589619</v>
      </c>
      <c r="O724" s="37">
        <v>205.82016899999999</v>
      </c>
      <c r="P724" s="40">
        <f>60+70</f>
        <v>130</v>
      </c>
      <c r="Q724" s="40">
        <v>0</v>
      </c>
      <c r="R724" s="41">
        <f>SUM(P724:Q724)</f>
        <v>130</v>
      </c>
      <c r="S724" s="42">
        <v>1142</v>
      </c>
    </row>
    <row r="725" spans="2:19" ht="15.75" x14ac:dyDescent="0.25">
      <c r="B725" s="34">
        <f>+B724+1</f>
        <v>2</v>
      </c>
      <c r="C725" s="34" t="s">
        <v>1065</v>
      </c>
      <c r="D725" s="35" t="s">
        <v>1066</v>
      </c>
      <c r="E725" s="36">
        <v>42551</v>
      </c>
      <c r="F725" s="37">
        <v>56.584000000000003</v>
      </c>
      <c r="G725" s="38">
        <v>10</v>
      </c>
      <c r="H725" s="39">
        <f>+F725/G725</f>
        <v>5.6584000000000003</v>
      </c>
      <c r="I725" s="37">
        <v>442.83357899999999</v>
      </c>
      <c r="J725" s="37">
        <v>1503.038818</v>
      </c>
      <c r="K725" s="37">
        <v>1421.3402659999999</v>
      </c>
      <c r="L725" s="37">
        <v>55.340181000000001</v>
      </c>
      <c r="M725" s="37">
        <v>15.759124999999999</v>
      </c>
      <c r="N725" s="39">
        <f>+M725-O725</f>
        <v>5.2224819999999994</v>
      </c>
      <c r="O725" s="37">
        <v>10.536643</v>
      </c>
      <c r="P725" s="40">
        <f>10</f>
        <v>10</v>
      </c>
      <c r="Q725" s="40">
        <v>0</v>
      </c>
      <c r="R725" s="41">
        <f>SUM(P725:Q725)</f>
        <v>10</v>
      </c>
      <c r="S725" s="42">
        <v>1120</v>
      </c>
    </row>
    <row r="726" spans="2:19" ht="15.75" x14ac:dyDescent="0.25">
      <c r="B726" s="29"/>
      <c r="C726" s="29"/>
      <c r="D726" s="29"/>
      <c r="E726" s="29"/>
      <c r="F726" s="29"/>
      <c r="G726" s="43"/>
      <c r="H726" s="44"/>
      <c r="I726" s="31"/>
      <c r="J726" s="31"/>
      <c r="K726" s="31"/>
      <c r="L726" s="31"/>
      <c r="M726" s="31"/>
      <c r="N726" s="45"/>
      <c r="O726" s="31"/>
      <c r="P726" s="31"/>
      <c r="Q726" s="31"/>
      <c r="R726" s="45"/>
      <c r="S726" s="31"/>
    </row>
    <row r="727" spans="2:19" ht="18.75" x14ac:dyDescent="0.3">
      <c r="B727" s="29"/>
      <c r="C727" s="29"/>
      <c r="D727" s="57" t="s">
        <v>45</v>
      </c>
      <c r="E727" s="29"/>
      <c r="F727" s="29"/>
      <c r="G727" s="43"/>
      <c r="H727" s="44"/>
      <c r="I727" s="31"/>
      <c r="J727" s="31"/>
      <c r="K727" s="31"/>
      <c r="L727" s="31"/>
      <c r="M727" s="31"/>
      <c r="N727" s="45"/>
      <c r="O727" s="31"/>
      <c r="P727" s="31"/>
      <c r="Q727" s="31"/>
      <c r="R727" s="45"/>
      <c r="S727" s="31"/>
    </row>
    <row r="728" spans="2:19" ht="15.75" x14ac:dyDescent="0.25">
      <c r="B728" s="34">
        <v>1</v>
      </c>
      <c r="C728" s="34" t="s">
        <v>1067</v>
      </c>
      <c r="D728" s="35" t="s">
        <v>1068</v>
      </c>
      <c r="E728" s="36">
        <v>42643</v>
      </c>
      <c r="F728" s="37"/>
      <c r="G728" s="38">
        <v>10</v>
      </c>
      <c r="H728" s="39">
        <f>+F728/G728</f>
        <v>0</v>
      </c>
      <c r="I728" s="37"/>
      <c r="J728" s="37"/>
      <c r="K728" s="37"/>
      <c r="L728" s="37"/>
      <c r="M728" s="37"/>
      <c r="N728" s="39">
        <f>+M728-O728</f>
        <v>0</v>
      </c>
      <c r="O728" s="37"/>
      <c r="P728" s="40"/>
      <c r="Q728" s="40"/>
      <c r="R728" s="41">
        <f>SUM(P728:Q728)</f>
        <v>0</v>
      </c>
      <c r="S728" s="42"/>
    </row>
    <row r="729" spans="2:19" ht="15.75" x14ac:dyDescent="0.25">
      <c r="B729" s="34">
        <f>+B728+1</f>
        <v>2</v>
      </c>
      <c r="C729" s="34" t="s">
        <v>1069</v>
      </c>
      <c r="D729" s="35" t="s">
        <v>1070</v>
      </c>
      <c r="E729" s="36">
        <v>42551</v>
      </c>
      <c r="F729" s="37">
        <v>5.6829999999999998</v>
      </c>
      <c r="G729" s="38">
        <v>10</v>
      </c>
      <c r="H729" s="39">
        <f>+F729/G729</f>
        <v>0.56830000000000003</v>
      </c>
      <c r="I729" s="37">
        <v>-848.03499999999997</v>
      </c>
      <c r="J729" s="37">
        <v>1.1970000000000001</v>
      </c>
      <c r="K729" s="37">
        <v>0</v>
      </c>
      <c r="L729" s="37">
        <v>0</v>
      </c>
      <c r="M729" s="37">
        <v>-3.2869999999999999</v>
      </c>
      <c r="N729" s="39">
        <f>+M729-O729</f>
        <v>0</v>
      </c>
      <c r="O729" s="37">
        <v>-3.2869999999999999</v>
      </c>
      <c r="P729" s="40">
        <v>0</v>
      </c>
      <c r="Q729" s="40">
        <v>0</v>
      </c>
      <c r="R729" s="41">
        <f>SUM(P729:Q729)</f>
        <v>0</v>
      </c>
      <c r="S729" s="42">
        <v>806</v>
      </c>
    </row>
    <row r="730" spans="2:19" ht="15.75" x14ac:dyDescent="0.25">
      <c r="B730" s="34">
        <f>+B729+1</f>
        <v>3</v>
      </c>
      <c r="C730" s="34" t="s">
        <v>1071</v>
      </c>
      <c r="D730" s="35" t="s">
        <v>1072</v>
      </c>
      <c r="E730" s="36">
        <v>42551</v>
      </c>
      <c r="F730" s="37"/>
      <c r="G730" s="38">
        <v>10</v>
      </c>
      <c r="H730" s="39">
        <f>+F730/G730</f>
        <v>0</v>
      </c>
      <c r="I730" s="37"/>
      <c r="J730" s="37"/>
      <c r="K730" s="37"/>
      <c r="L730" s="37"/>
      <c r="M730" s="37"/>
      <c r="N730" s="39">
        <f>+M730-O730</f>
        <v>0</v>
      </c>
      <c r="O730" s="37"/>
      <c r="P730" s="40"/>
      <c r="Q730" s="40"/>
      <c r="R730" s="41">
        <f>SUM(P730:Q730)</f>
        <v>0</v>
      </c>
      <c r="S730" s="42"/>
    </row>
    <row r="731" spans="2:19" ht="15.75" x14ac:dyDescent="0.25">
      <c r="B731" s="29"/>
      <c r="C731" s="29"/>
      <c r="D731" s="29"/>
      <c r="E731" s="29"/>
      <c r="F731" s="29"/>
      <c r="G731" s="43"/>
      <c r="H731" s="44"/>
      <c r="I731" s="31"/>
      <c r="J731" s="31"/>
      <c r="K731" s="31"/>
      <c r="L731" s="31"/>
      <c r="M731" s="31"/>
      <c r="N731" s="45"/>
      <c r="O731" s="31"/>
      <c r="P731" s="31"/>
      <c r="Q731" s="31"/>
      <c r="R731" s="45"/>
      <c r="S731" s="31"/>
    </row>
    <row r="732" spans="2:19" ht="15.75" x14ac:dyDescent="0.25">
      <c r="B732" s="34">
        <f>COUNT(B724:B731)</f>
        <v>5</v>
      </c>
      <c r="C732" s="34"/>
      <c r="D732" s="48"/>
      <c r="E732" s="48"/>
      <c r="F732" s="48">
        <f>SUM(F724:F731)</f>
        <v>116.17352</v>
      </c>
      <c r="G732" s="49"/>
      <c r="H732" s="50">
        <f t="shared" ref="H732:O732" si="136">SUM(H724:H731)</f>
        <v>11.617352</v>
      </c>
      <c r="I732" s="48">
        <f t="shared" si="136"/>
        <v>249.39808400000004</v>
      </c>
      <c r="J732" s="48">
        <f t="shared" si="136"/>
        <v>3230.4854489999998</v>
      </c>
      <c r="K732" s="48">
        <f t="shared" si="136"/>
        <v>5631.9478909999998</v>
      </c>
      <c r="L732" s="48">
        <f t="shared" si="136"/>
        <v>58.062232999999999</v>
      </c>
      <c r="M732" s="48">
        <f t="shared" si="136"/>
        <v>333.881913</v>
      </c>
      <c r="N732" s="51">
        <f t="shared" si="136"/>
        <v>120.812101</v>
      </c>
      <c r="O732" s="48">
        <f t="shared" si="136"/>
        <v>213.06981199999998</v>
      </c>
      <c r="P732" s="52"/>
      <c r="Q732" s="52"/>
      <c r="R732" s="53"/>
      <c r="S732" s="54">
        <f>SUM(S724:S731)</f>
        <v>3068</v>
      </c>
    </row>
    <row r="733" spans="2:19" ht="15.75" x14ac:dyDescent="0.25">
      <c r="B733" s="29"/>
      <c r="C733" s="29"/>
      <c r="D733" s="29"/>
      <c r="E733" s="29"/>
      <c r="F733" s="29"/>
      <c r="G733" s="43"/>
      <c r="H733" s="44"/>
      <c r="I733" s="31"/>
      <c r="J733" s="31"/>
      <c r="K733" s="31"/>
      <c r="L733" s="31"/>
      <c r="M733" s="31"/>
      <c r="N733" s="45"/>
      <c r="O733" s="31"/>
      <c r="P733" s="31"/>
      <c r="Q733" s="31"/>
      <c r="R733" s="45"/>
      <c r="S733" s="31"/>
    </row>
    <row r="734" spans="2:19" ht="15.75" x14ac:dyDescent="0.25">
      <c r="B734" s="29"/>
      <c r="C734" s="29"/>
      <c r="D734" s="29"/>
      <c r="E734" s="29"/>
      <c r="F734" s="29"/>
      <c r="G734" s="43"/>
      <c r="H734" s="44"/>
      <c r="I734" s="31"/>
      <c r="J734" s="31"/>
      <c r="K734" s="31"/>
      <c r="L734" s="31"/>
      <c r="M734" s="31"/>
      <c r="N734" s="45"/>
      <c r="O734" s="31"/>
      <c r="P734" s="31"/>
      <c r="Q734" s="31"/>
      <c r="R734" s="45"/>
      <c r="S734" s="31"/>
    </row>
    <row r="735" spans="2:19" ht="18.75" x14ac:dyDescent="0.3">
      <c r="B735" s="29"/>
      <c r="C735" s="33">
        <v>32</v>
      </c>
      <c r="D735" s="33" t="s">
        <v>1073</v>
      </c>
      <c r="E735" s="61"/>
      <c r="F735" s="61"/>
      <c r="G735" s="43"/>
      <c r="H735" s="44"/>
      <c r="I735" s="31"/>
      <c r="J735" s="31"/>
      <c r="K735" s="31"/>
      <c r="L735" s="31"/>
      <c r="M735" s="31"/>
      <c r="N735" s="45"/>
      <c r="O735" s="31"/>
      <c r="P735" s="31"/>
      <c r="Q735" s="31"/>
      <c r="R735" s="45"/>
      <c r="S735" s="31"/>
    </row>
    <row r="736" spans="2:19" ht="15.75" x14ac:dyDescent="0.25">
      <c r="B736" s="29"/>
      <c r="C736" s="29"/>
      <c r="D736" s="29"/>
      <c r="E736" s="29"/>
      <c r="F736" s="29"/>
      <c r="G736" s="43"/>
      <c r="H736" s="44"/>
      <c r="I736" s="31"/>
      <c r="J736" s="31"/>
      <c r="K736" s="31"/>
      <c r="L736" s="31"/>
      <c r="M736" s="31"/>
      <c r="N736" s="45"/>
      <c r="O736" s="31"/>
      <c r="P736" s="31"/>
      <c r="Q736" s="31"/>
      <c r="R736" s="45"/>
      <c r="S736" s="31"/>
    </row>
    <row r="737" spans="2:19" ht="15.75" x14ac:dyDescent="0.25">
      <c r="B737" s="55">
        <v>1</v>
      </c>
      <c r="C737" s="55" t="s">
        <v>1074</v>
      </c>
      <c r="D737" s="35" t="s">
        <v>1075</v>
      </c>
      <c r="E737" s="36">
        <v>42735</v>
      </c>
      <c r="F737" s="37">
        <v>75.599999999999994</v>
      </c>
      <c r="G737" s="38">
        <v>10</v>
      </c>
      <c r="H737" s="39">
        <f>+F737/G737</f>
        <v>7.56</v>
      </c>
      <c r="I737" s="37">
        <v>6662.5940000000001</v>
      </c>
      <c r="J737" s="37">
        <v>9084.5560000000005</v>
      </c>
      <c r="K737" s="37">
        <v>15082.171</v>
      </c>
      <c r="L737" s="37">
        <v>39.935000000000002</v>
      </c>
      <c r="M737" s="37">
        <v>2100.645</v>
      </c>
      <c r="N737" s="39">
        <f>+M737-O737</f>
        <v>658.62899999999991</v>
      </c>
      <c r="O737" s="37">
        <v>1442.0160000000001</v>
      </c>
      <c r="P737" s="40">
        <f>650+600</f>
        <v>1250</v>
      </c>
      <c r="Q737" s="40">
        <v>0</v>
      </c>
      <c r="R737" s="41">
        <f>SUM(P737:Q737)</f>
        <v>1250</v>
      </c>
      <c r="S737" s="42">
        <v>1057</v>
      </c>
    </row>
    <row r="738" spans="2:19" ht="15.75" x14ac:dyDescent="0.25">
      <c r="B738" s="55">
        <f>+B742+1</f>
        <v>2</v>
      </c>
      <c r="C738" s="55" t="s">
        <v>1076</v>
      </c>
      <c r="D738" s="35" t="s">
        <v>1077</v>
      </c>
      <c r="E738" s="36">
        <v>42551</v>
      </c>
      <c r="F738" s="37">
        <v>60</v>
      </c>
      <c r="G738" s="38">
        <v>10</v>
      </c>
      <c r="H738" s="39">
        <f>+F738/G738</f>
        <v>6</v>
      </c>
      <c r="I738" s="37">
        <v>45.777704</v>
      </c>
      <c r="J738" s="37">
        <v>127.614035</v>
      </c>
      <c r="K738" s="37">
        <v>127.71552200000001</v>
      </c>
      <c r="L738" s="37">
        <v>1.9612609999999999</v>
      </c>
      <c r="M738" s="37">
        <v>12.269330999999999</v>
      </c>
      <c r="N738" s="39">
        <f>+M738-O738</f>
        <v>1.3388079999999984</v>
      </c>
      <c r="O738" s="37">
        <v>10.930523000000001</v>
      </c>
      <c r="P738" s="40">
        <v>2.5</v>
      </c>
      <c r="Q738" s="40">
        <v>0</v>
      </c>
      <c r="R738" s="41">
        <f>SUM(P738:Q738)</f>
        <v>2.5</v>
      </c>
      <c r="S738" s="42">
        <v>1843</v>
      </c>
    </row>
    <row r="739" spans="2:19" ht="15.75" x14ac:dyDescent="0.25">
      <c r="B739" s="55">
        <f>+B738+1</f>
        <v>3</v>
      </c>
      <c r="C739" s="55" t="s">
        <v>1078</v>
      </c>
      <c r="D739" s="35" t="s">
        <v>1079</v>
      </c>
      <c r="E739" s="36">
        <v>42735</v>
      </c>
      <c r="F739" s="37">
        <v>120.288</v>
      </c>
      <c r="G739" s="38">
        <v>10</v>
      </c>
      <c r="H739" s="39">
        <f>+F739/G739</f>
        <v>12.0288</v>
      </c>
      <c r="I739" s="37">
        <v>4383.9399999999996</v>
      </c>
      <c r="J739" s="37">
        <v>12696.724</v>
      </c>
      <c r="K739" s="37">
        <v>18984.428</v>
      </c>
      <c r="L739" s="37">
        <v>236.845</v>
      </c>
      <c r="M739" s="37">
        <v>1469.2950000000001</v>
      </c>
      <c r="N739" s="39">
        <f>+M739-O739</f>
        <v>223.80799999999999</v>
      </c>
      <c r="O739" s="37">
        <v>1245.4870000000001</v>
      </c>
      <c r="P739" s="40">
        <f>150+250</f>
        <v>400</v>
      </c>
      <c r="Q739" s="40">
        <v>0</v>
      </c>
      <c r="R739" s="41">
        <f>SUM(P739:Q739)</f>
        <v>400</v>
      </c>
      <c r="S739" s="42">
        <v>1540</v>
      </c>
    </row>
    <row r="740" spans="2:19" ht="15.75" x14ac:dyDescent="0.25">
      <c r="B740" s="29"/>
      <c r="C740" s="29"/>
      <c r="D740" s="29"/>
      <c r="E740" s="29"/>
      <c r="F740" s="29"/>
      <c r="G740" s="43"/>
      <c r="H740" s="44"/>
      <c r="I740" s="31"/>
      <c r="J740" s="31"/>
      <c r="K740" s="31"/>
      <c r="L740" s="31"/>
      <c r="M740" s="31"/>
      <c r="N740" s="45"/>
      <c r="O740" s="31"/>
      <c r="P740" s="31"/>
      <c r="Q740" s="31"/>
      <c r="R740" s="45"/>
      <c r="S740" s="31"/>
    </row>
    <row r="741" spans="2:19" ht="18.75" x14ac:dyDescent="0.3">
      <c r="B741" s="29"/>
      <c r="C741" s="29"/>
      <c r="D741" s="57" t="s">
        <v>45</v>
      </c>
      <c r="E741" s="29"/>
      <c r="F741" s="29"/>
      <c r="G741" s="43"/>
      <c r="H741" s="44"/>
      <c r="I741" s="31"/>
      <c r="J741" s="31"/>
      <c r="K741" s="31"/>
      <c r="L741" s="31"/>
      <c r="M741" s="31"/>
      <c r="N741" s="45"/>
      <c r="O741" s="31"/>
      <c r="P741" s="31"/>
      <c r="Q741" s="31"/>
      <c r="R741" s="45"/>
      <c r="S741" s="31"/>
    </row>
    <row r="742" spans="2:19" ht="15.75" x14ac:dyDescent="0.25">
      <c r="B742" s="55">
        <v>1</v>
      </c>
      <c r="C742" s="55" t="s">
        <v>1080</v>
      </c>
      <c r="D742" s="35" t="s">
        <v>1081</v>
      </c>
      <c r="E742" s="36">
        <v>42551</v>
      </c>
      <c r="F742" s="37">
        <v>20</v>
      </c>
      <c r="G742" s="38">
        <v>10</v>
      </c>
      <c r="H742" s="39">
        <f>+F742/G742</f>
        <v>2</v>
      </c>
      <c r="I742" s="37">
        <v>-235.51110700000001</v>
      </c>
      <c r="J742" s="37">
        <v>53.411940999999999</v>
      </c>
      <c r="K742" s="37">
        <v>113.699507</v>
      </c>
      <c r="L742" s="37">
        <v>0.78137500000000004</v>
      </c>
      <c r="M742" s="37">
        <v>-7.774241</v>
      </c>
      <c r="N742" s="39">
        <f>+M742-O742</f>
        <v>1.1223419999999997</v>
      </c>
      <c r="O742" s="37">
        <v>-8.8965829999999997</v>
      </c>
      <c r="P742" s="40">
        <v>0</v>
      </c>
      <c r="Q742" s="40">
        <v>0</v>
      </c>
      <c r="R742" s="41">
        <f>SUM(P742:Q742)</f>
        <v>0</v>
      </c>
      <c r="S742" s="42">
        <v>108</v>
      </c>
    </row>
    <row r="743" spans="2:19" ht="15.75" x14ac:dyDescent="0.25">
      <c r="B743" s="55">
        <f>+B742+1</f>
        <v>2</v>
      </c>
      <c r="C743" s="55" t="s">
        <v>1082</v>
      </c>
      <c r="D743" s="35" t="s">
        <v>1083</v>
      </c>
      <c r="E743" s="36">
        <v>42551</v>
      </c>
      <c r="F743" s="37">
        <v>34</v>
      </c>
      <c r="G743" s="38">
        <v>10</v>
      </c>
      <c r="H743" s="39">
        <f>+F743/G743</f>
        <v>3.4</v>
      </c>
      <c r="I743" s="37">
        <v>-356.09470700000003</v>
      </c>
      <c r="J743" s="37">
        <v>149.20969400000001</v>
      </c>
      <c r="K743" s="37">
        <v>20.914199</v>
      </c>
      <c r="L743" s="37">
        <v>5.8824000000000001E-2</v>
      </c>
      <c r="M743" s="37">
        <v>-6.672186</v>
      </c>
      <c r="N743" s="39">
        <f>+M743-O743</f>
        <v>0.20999999999999996</v>
      </c>
      <c r="O743" s="37">
        <v>-6.8821859999999999</v>
      </c>
      <c r="P743" s="40">
        <v>0</v>
      </c>
      <c r="Q743" s="40">
        <v>0</v>
      </c>
      <c r="R743" s="41">
        <f>SUM(P743:Q743)</f>
        <v>0</v>
      </c>
      <c r="S743" s="42">
        <v>246</v>
      </c>
    </row>
    <row r="744" spans="2:19" ht="15.75" x14ac:dyDescent="0.25">
      <c r="B744" s="29"/>
      <c r="C744" s="29"/>
      <c r="D744" s="29"/>
      <c r="E744" s="29"/>
      <c r="F744" s="29"/>
      <c r="G744" s="43"/>
      <c r="H744" s="44"/>
      <c r="I744" s="31"/>
      <c r="J744" s="31"/>
      <c r="K744" s="31"/>
      <c r="L744" s="31"/>
      <c r="M744" s="31"/>
      <c r="N744" s="45"/>
      <c r="O744" s="31"/>
      <c r="P744" s="31"/>
      <c r="Q744" s="31"/>
      <c r="R744" s="45"/>
      <c r="S744" s="31"/>
    </row>
    <row r="745" spans="2:19" ht="15.75" x14ac:dyDescent="0.25">
      <c r="B745" s="34">
        <f>COUNT(B737:B744)</f>
        <v>5</v>
      </c>
      <c r="C745" s="34"/>
      <c r="D745" s="48"/>
      <c r="E745" s="48"/>
      <c r="F745" s="48">
        <f>SUM(F737:F744)</f>
        <v>309.88799999999998</v>
      </c>
      <c r="G745" s="49"/>
      <c r="H745" s="50">
        <f t="shared" ref="H745:O745" si="137">SUM(H737:H744)</f>
        <v>30.988799999999998</v>
      </c>
      <c r="I745" s="48">
        <f t="shared" si="137"/>
        <v>10500.705889999999</v>
      </c>
      <c r="J745" s="48">
        <f t="shared" si="137"/>
        <v>22111.515670000001</v>
      </c>
      <c r="K745" s="48">
        <f t="shared" si="137"/>
        <v>34328.928227999997</v>
      </c>
      <c r="L745" s="48">
        <f t="shared" si="137"/>
        <v>279.58146000000005</v>
      </c>
      <c r="M745" s="48">
        <f t="shared" si="137"/>
        <v>3567.7629040000002</v>
      </c>
      <c r="N745" s="51">
        <f t="shared" si="137"/>
        <v>885.10814999999991</v>
      </c>
      <c r="O745" s="48">
        <f t="shared" si="137"/>
        <v>2682.6547540000001</v>
      </c>
      <c r="P745" s="52"/>
      <c r="Q745" s="52"/>
      <c r="R745" s="53"/>
      <c r="S745" s="54">
        <f>SUM(S737:S744)</f>
        <v>4794</v>
      </c>
    </row>
    <row r="746" spans="2:19" ht="15.75" x14ac:dyDescent="0.25">
      <c r="B746" s="29"/>
      <c r="C746" s="29"/>
      <c r="D746" s="29"/>
      <c r="E746" s="29"/>
      <c r="F746" s="29"/>
      <c r="G746" s="43"/>
      <c r="H746" s="44"/>
      <c r="I746" s="31"/>
      <c r="J746" s="31"/>
      <c r="K746" s="31"/>
      <c r="L746" s="31"/>
      <c r="M746" s="31"/>
      <c r="N746" s="45"/>
      <c r="O746" s="31"/>
      <c r="P746" s="31"/>
      <c r="Q746" s="31"/>
      <c r="R746" s="45"/>
      <c r="S746" s="31"/>
    </row>
    <row r="747" spans="2:19" ht="15.75" x14ac:dyDescent="0.25">
      <c r="B747" s="29"/>
      <c r="C747" s="29"/>
      <c r="D747" s="29"/>
      <c r="E747" s="29"/>
      <c r="F747" s="29"/>
      <c r="G747" s="43"/>
      <c r="H747" s="44"/>
      <c r="I747" s="31"/>
      <c r="J747" s="31"/>
      <c r="K747" s="31"/>
      <c r="L747" s="31"/>
      <c r="M747" s="31"/>
      <c r="N747" s="45"/>
      <c r="O747" s="31"/>
      <c r="P747" s="31"/>
      <c r="Q747" s="31"/>
      <c r="R747" s="45"/>
      <c r="S747" s="31"/>
    </row>
    <row r="748" spans="2:19" ht="18.75" x14ac:dyDescent="0.3">
      <c r="B748" s="29"/>
      <c r="C748" s="33">
        <v>33</v>
      </c>
      <c r="D748" s="33" t="s">
        <v>1084</v>
      </c>
      <c r="E748" s="61"/>
      <c r="F748" s="61"/>
      <c r="G748" s="43"/>
      <c r="H748" s="44"/>
      <c r="I748" s="31"/>
      <c r="J748" s="31"/>
      <c r="K748" s="31"/>
      <c r="L748" s="31"/>
      <c r="M748" s="31"/>
      <c r="N748" s="45"/>
      <c r="O748" s="31"/>
      <c r="P748" s="31"/>
      <c r="Q748" s="31"/>
      <c r="R748" s="45"/>
      <c r="S748" s="31"/>
    </row>
    <row r="749" spans="2:19" ht="15.75" x14ac:dyDescent="0.25">
      <c r="B749" s="29"/>
      <c r="C749" s="29"/>
      <c r="D749" s="29"/>
      <c r="E749" s="29"/>
      <c r="F749" s="29"/>
      <c r="G749" s="43"/>
      <c r="H749" s="44"/>
      <c r="I749" s="31"/>
      <c r="J749" s="31"/>
      <c r="K749" s="31"/>
      <c r="L749" s="31"/>
      <c r="M749" s="31"/>
      <c r="N749" s="45"/>
      <c r="O749" s="31"/>
      <c r="P749" s="31"/>
      <c r="Q749" s="31"/>
      <c r="R749" s="45"/>
      <c r="S749" s="31"/>
    </row>
    <row r="750" spans="2:19" ht="15.75" x14ac:dyDescent="0.25">
      <c r="B750" s="34">
        <v>1</v>
      </c>
      <c r="C750" s="34" t="s">
        <v>1085</v>
      </c>
      <c r="D750" s="35" t="s">
        <v>1086</v>
      </c>
      <c r="E750" s="36">
        <v>42551</v>
      </c>
      <c r="F750" s="37">
        <v>1235.8037159999999</v>
      </c>
      <c r="G750" s="38">
        <v>10</v>
      </c>
      <c r="H750" s="39">
        <f t="shared" ref="H750:H767" si="138">+F750/G750</f>
        <v>123.58037159999999</v>
      </c>
      <c r="I750" s="37">
        <v>3627.4660760000002</v>
      </c>
      <c r="J750" s="37">
        <v>4975.5745079999997</v>
      </c>
      <c r="K750" s="37">
        <v>6895.5796849999997</v>
      </c>
      <c r="L750" s="37">
        <v>53.866886000000001</v>
      </c>
      <c r="M750" s="37">
        <v>341.93964399999999</v>
      </c>
      <c r="N750" s="39">
        <f t="shared" ref="N750:N767" si="139">+M750-O750</f>
        <v>-22.637488000000019</v>
      </c>
      <c r="O750" s="37">
        <v>364.57713200000001</v>
      </c>
      <c r="P750" s="40">
        <v>0</v>
      </c>
      <c r="Q750" s="40">
        <f>35+15</f>
        <v>50</v>
      </c>
      <c r="R750" s="41">
        <f t="shared" ref="R750:R767" si="140">SUM(P750:Q750)</f>
        <v>50</v>
      </c>
      <c r="S750" s="42">
        <v>4884</v>
      </c>
    </row>
    <row r="751" spans="2:19" ht="15.75" x14ac:dyDescent="0.25">
      <c r="B751" s="34">
        <f t="shared" ref="B751:B767" si="141">+B750+1</f>
        <v>2</v>
      </c>
      <c r="C751" s="34" t="s">
        <v>1087</v>
      </c>
      <c r="D751" s="35" t="s">
        <v>1088</v>
      </c>
      <c r="E751" s="36">
        <v>42551</v>
      </c>
      <c r="F751" s="37">
        <v>94.348799999999997</v>
      </c>
      <c r="G751" s="38">
        <v>10</v>
      </c>
      <c r="H751" s="39">
        <f>+F751/G751</f>
        <v>9.4348799999999997</v>
      </c>
      <c r="I751" s="37">
        <v>183.95317600000001</v>
      </c>
      <c r="J751" s="37">
        <v>189.54880499999999</v>
      </c>
      <c r="K751" s="37">
        <v>11.013415999999999</v>
      </c>
      <c r="L751" s="37">
        <v>0.38606099999999999</v>
      </c>
      <c r="M751" s="37">
        <v>22.372045</v>
      </c>
      <c r="N751" s="39">
        <f>+M751-O751</f>
        <v>7.9492329999999995</v>
      </c>
      <c r="O751" s="37">
        <v>14.422812</v>
      </c>
      <c r="P751" s="40">
        <f>575+10</f>
        <v>585</v>
      </c>
      <c r="Q751" s="40">
        <v>0</v>
      </c>
      <c r="R751" s="41">
        <f>SUM(P751:Q751)</f>
        <v>585</v>
      </c>
      <c r="S751" s="42">
        <v>2165</v>
      </c>
    </row>
    <row r="752" spans="2:19" ht="15.75" x14ac:dyDescent="0.25">
      <c r="B752" s="34">
        <f t="shared" si="141"/>
        <v>3</v>
      </c>
      <c r="C752" s="34" t="s">
        <v>1089</v>
      </c>
      <c r="D752" s="35" t="s">
        <v>1090</v>
      </c>
      <c r="E752" s="36">
        <v>42735</v>
      </c>
      <c r="F752" s="37">
        <v>7665.9610000000002</v>
      </c>
      <c r="G752" s="38">
        <v>10</v>
      </c>
      <c r="H752" s="39">
        <f t="shared" si="138"/>
        <v>766.59609999999998</v>
      </c>
      <c r="I752" s="37">
        <v>17150.519</v>
      </c>
      <c r="J752" s="37">
        <v>24713.772000000001</v>
      </c>
      <c r="K752" s="37">
        <v>44346.031000000003</v>
      </c>
      <c r="L752" s="37">
        <v>348.03800000000001</v>
      </c>
      <c r="M752" s="37">
        <v>3517.7860000000001</v>
      </c>
      <c r="N752" s="39">
        <f t="shared" si="139"/>
        <v>1131.0740000000001</v>
      </c>
      <c r="O752" s="37">
        <v>2386.712</v>
      </c>
      <c r="P752" s="40">
        <f>100</f>
        <v>100</v>
      </c>
      <c r="Q752" s="40">
        <v>0</v>
      </c>
      <c r="R752" s="41">
        <f t="shared" si="140"/>
        <v>100</v>
      </c>
      <c r="S752" s="42">
        <v>7708</v>
      </c>
    </row>
    <row r="753" spans="2:19" ht="15.75" x14ac:dyDescent="0.25">
      <c r="B753" s="34">
        <f t="shared" si="141"/>
        <v>4</v>
      </c>
      <c r="C753" s="34" t="s">
        <v>1091</v>
      </c>
      <c r="D753" s="35" t="s">
        <v>1092</v>
      </c>
      <c r="E753" s="36">
        <v>42551</v>
      </c>
      <c r="F753" s="37">
        <v>3</v>
      </c>
      <c r="G753" s="38">
        <v>10</v>
      </c>
      <c r="H753" s="39">
        <f t="shared" si="138"/>
        <v>0.3</v>
      </c>
      <c r="I753" s="37">
        <v>38.645111</v>
      </c>
      <c r="J753" s="37">
        <v>253.36767499999999</v>
      </c>
      <c r="K753" s="37">
        <v>871.08533699999998</v>
      </c>
      <c r="L753" s="37">
        <v>1.4951000000000001E-2</v>
      </c>
      <c r="M753" s="37">
        <v>4.056476</v>
      </c>
      <c r="N753" s="39">
        <f t="shared" si="139"/>
        <v>2.9938370000000001</v>
      </c>
      <c r="O753" s="37">
        <v>1.0626389999999999</v>
      </c>
      <c r="P753" s="40">
        <f>17.5</f>
        <v>17.5</v>
      </c>
      <c r="Q753" s="40">
        <v>0</v>
      </c>
      <c r="R753" s="41">
        <f t="shared" si="140"/>
        <v>17.5</v>
      </c>
      <c r="S753" s="42">
        <v>80</v>
      </c>
    </row>
    <row r="754" spans="2:19" ht="15.75" x14ac:dyDescent="0.25">
      <c r="B754" s="34">
        <f t="shared" si="141"/>
        <v>5</v>
      </c>
      <c r="C754" s="55" t="s">
        <v>1093</v>
      </c>
      <c r="D754" s="35" t="s">
        <v>1094</v>
      </c>
      <c r="E754" s="36">
        <v>42551</v>
      </c>
      <c r="F754" s="37">
        <v>192</v>
      </c>
      <c r="G754" s="38">
        <v>10</v>
      </c>
      <c r="H754" s="39">
        <f t="shared" si="138"/>
        <v>19.2</v>
      </c>
      <c r="I754" s="37">
        <v>716.58500000000004</v>
      </c>
      <c r="J754" s="37">
        <v>1066.0519999999999</v>
      </c>
      <c r="K754" s="37">
        <v>1902.154</v>
      </c>
      <c r="L754" s="37">
        <v>0</v>
      </c>
      <c r="M754" s="37">
        <v>74.494</v>
      </c>
      <c r="N754" s="39">
        <f t="shared" si="139"/>
        <v>103.81700000000001</v>
      </c>
      <c r="O754" s="37">
        <v>-29.323</v>
      </c>
      <c r="P754" s="40">
        <v>0</v>
      </c>
      <c r="Q754" s="40">
        <v>0</v>
      </c>
      <c r="R754" s="41">
        <f t="shared" si="140"/>
        <v>0</v>
      </c>
      <c r="S754" s="42">
        <v>661</v>
      </c>
    </row>
    <row r="755" spans="2:19" ht="15.75" x14ac:dyDescent="0.25">
      <c r="B755" s="34">
        <f t="shared" si="141"/>
        <v>6</v>
      </c>
      <c r="C755" s="34" t="s">
        <v>1095</v>
      </c>
      <c r="D755" s="35" t="s">
        <v>1096</v>
      </c>
      <c r="E755" s="36">
        <v>42551</v>
      </c>
      <c r="F755" s="37">
        <v>505.20749999999998</v>
      </c>
      <c r="G755" s="38">
        <v>10</v>
      </c>
      <c r="H755" s="39">
        <f t="shared" si="138"/>
        <v>50.52075</v>
      </c>
      <c r="I755" s="37">
        <v>5998.8848550000002</v>
      </c>
      <c r="J755" s="37">
        <v>20603.574769999999</v>
      </c>
      <c r="K755" s="37">
        <v>17007.971017</v>
      </c>
      <c r="L755" s="37">
        <v>798.38220200000001</v>
      </c>
      <c r="M755" s="37">
        <v>1292.461963</v>
      </c>
      <c r="N755" s="39">
        <f t="shared" si="139"/>
        <v>290.59507099999996</v>
      </c>
      <c r="O755" s="37">
        <v>1001.866892</v>
      </c>
      <c r="P755" s="40">
        <f>65</f>
        <v>65</v>
      </c>
      <c r="Q755" s="40">
        <v>0</v>
      </c>
      <c r="R755" s="41">
        <f t="shared" si="140"/>
        <v>65</v>
      </c>
      <c r="S755" s="42">
        <v>1751</v>
      </c>
    </row>
    <row r="756" spans="2:19" ht="15.75" x14ac:dyDescent="0.25">
      <c r="B756" s="34">
        <f t="shared" si="141"/>
        <v>7</v>
      </c>
      <c r="C756" s="34" t="s">
        <v>1097</v>
      </c>
      <c r="D756" s="35" t="s">
        <v>1098</v>
      </c>
      <c r="E756" s="36">
        <v>42643</v>
      </c>
      <c r="F756" s="37">
        <v>78.75</v>
      </c>
      <c r="G756" s="38">
        <v>10</v>
      </c>
      <c r="H756" s="39">
        <f t="shared" si="138"/>
        <v>7.875</v>
      </c>
      <c r="I756" s="37">
        <v>540.92150500000002</v>
      </c>
      <c r="J756" s="37">
        <v>1415.0001460000001</v>
      </c>
      <c r="K756" s="37">
        <v>1679.4619459999999</v>
      </c>
      <c r="L756" s="37">
        <v>42.919936</v>
      </c>
      <c r="M756" s="37">
        <v>2.0935169999999999</v>
      </c>
      <c r="N756" s="39">
        <f t="shared" si="139"/>
        <v>14.201881</v>
      </c>
      <c r="O756" s="37">
        <v>-12.108364</v>
      </c>
      <c r="P756" s="40">
        <v>0</v>
      </c>
      <c r="Q756" s="40">
        <v>0</v>
      </c>
      <c r="R756" s="41">
        <f t="shared" si="140"/>
        <v>0</v>
      </c>
      <c r="S756" s="42">
        <v>1086</v>
      </c>
    </row>
    <row r="757" spans="2:19" ht="15.75" x14ac:dyDescent="0.25">
      <c r="B757" s="34">
        <f t="shared" si="141"/>
        <v>8</v>
      </c>
      <c r="C757" s="55" t="s">
        <v>1099</v>
      </c>
      <c r="D757" s="35" t="s">
        <v>1100</v>
      </c>
      <c r="E757" s="36">
        <v>42551</v>
      </c>
      <c r="F757" s="37">
        <v>230.53</v>
      </c>
      <c r="G757" s="38">
        <v>10</v>
      </c>
      <c r="H757" s="39">
        <f t="shared" si="138"/>
        <v>23.053000000000001</v>
      </c>
      <c r="I757" s="37">
        <v>5798.0690000000004</v>
      </c>
      <c r="J757" s="37">
        <v>9491.7180000000008</v>
      </c>
      <c r="K757" s="37">
        <v>6657.3140000000003</v>
      </c>
      <c r="L757" s="37">
        <v>2.0230000000000001</v>
      </c>
      <c r="M757" s="37">
        <v>1566.6949999999999</v>
      </c>
      <c r="N757" s="39">
        <f t="shared" si="139"/>
        <v>415.88400000000001</v>
      </c>
      <c r="O757" s="37">
        <v>1150.8109999999999</v>
      </c>
      <c r="P757" s="40">
        <f>100+100</f>
        <v>200</v>
      </c>
      <c r="Q757" s="40">
        <v>0</v>
      </c>
      <c r="R757" s="41">
        <f t="shared" si="140"/>
        <v>200</v>
      </c>
      <c r="S757" s="42">
        <v>865</v>
      </c>
    </row>
    <row r="758" spans="2:19" ht="15.75" x14ac:dyDescent="0.25">
      <c r="B758" s="34">
        <f t="shared" si="141"/>
        <v>9</v>
      </c>
      <c r="C758" s="34" t="s">
        <v>1101</v>
      </c>
      <c r="D758" s="35" t="s">
        <v>1102</v>
      </c>
      <c r="E758" s="36">
        <v>42551</v>
      </c>
      <c r="F758" s="37">
        <v>518.03399999999999</v>
      </c>
      <c r="G758" s="38">
        <v>5</v>
      </c>
      <c r="H758" s="39">
        <f t="shared" si="138"/>
        <v>103.60679999999999</v>
      </c>
      <c r="I758" s="37">
        <v>2483.7719999999999</v>
      </c>
      <c r="J758" s="37">
        <v>6575.2529999999997</v>
      </c>
      <c r="K758" s="37">
        <v>13183.184999999999</v>
      </c>
      <c r="L758" s="37">
        <v>67.337999999999994</v>
      </c>
      <c r="M758" s="37">
        <v>1111.953</v>
      </c>
      <c r="N758" s="39">
        <f t="shared" si="139"/>
        <v>338.27699999999993</v>
      </c>
      <c r="O758" s="37">
        <v>773.67600000000004</v>
      </c>
      <c r="P758" s="40">
        <f>55</f>
        <v>55</v>
      </c>
      <c r="Q758" s="40">
        <v>0</v>
      </c>
      <c r="R758" s="41">
        <f t="shared" si="140"/>
        <v>55</v>
      </c>
      <c r="S758" s="42">
        <v>2085</v>
      </c>
    </row>
    <row r="759" spans="2:19" ht="15.75" x14ac:dyDescent="0.25">
      <c r="B759" s="34">
        <f t="shared" si="141"/>
        <v>10</v>
      </c>
      <c r="C759" s="34" t="s">
        <v>1103</v>
      </c>
      <c r="D759" s="35" t="s">
        <v>1104</v>
      </c>
      <c r="E759" s="36">
        <v>42735</v>
      </c>
      <c r="F759" s="37">
        <v>453.49599999999998</v>
      </c>
      <c r="G759" s="38">
        <v>10</v>
      </c>
      <c r="H759" s="39">
        <f t="shared" si="138"/>
        <v>45.349599999999995</v>
      </c>
      <c r="I759" s="37">
        <v>8812.0519999999997</v>
      </c>
      <c r="J759" s="37">
        <v>50781.77</v>
      </c>
      <c r="K759" s="37">
        <v>112392.65399999999</v>
      </c>
      <c r="L759" s="37">
        <v>959.005</v>
      </c>
      <c r="M759" s="37">
        <v>17019.919999999998</v>
      </c>
      <c r="N759" s="39">
        <f t="shared" si="139"/>
        <v>5172.9469999999983</v>
      </c>
      <c r="O759" s="37">
        <v>11846.973</v>
      </c>
      <c r="P759" s="40">
        <f>700+1850+1700</f>
        <v>4250</v>
      </c>
      <c r="Q759" s="40">
        <v>0</v>
      </c>
      <c r="R759" s="41">
        <f t="shared" si="140"/>
        <v>4250</v>
      </c>
      <c r="S759" s="42">
        <v>858</v>
      </c>
    </row>
    <row r="760" spans="2:19" ht="15.75" x14ac:dyDescent="0.25">
      <c r="B760" s="34">
        <f t="shared" si="141"/>
        <v>11</v>
      </c>
      <c r="C760" s="34" t="s">
        <v>1105</v>
      </c>
      <c r="D760" s="35" t="s">
        <v>1106</v>
      </c>
      <c r="E760" s="36">
        <v>42735</v>
      </c>
      <c r="F760" s="37">
        <v>1124.9979800000001</v>
      </c>
      <c r="G760" s="38">
        <v>10</v>
      </c>
      <c r="H760" s="39">
        <f t="shared" si="138"/>
        <v>112.49979800000001</v>
      </c>
      <c r="I760" s="37">
        <v>1801.184452</v>
      </c>
      <c r="J760" s="37">
        <v>7680.651081</v>
      </c>
      <c r="K760" s="37">
        <v>3370.5067720000002</v>
      </c>
      <c r="L760" s="37">
        <v>150.93651700000001</v>
      </c>
      <c r="M760" s="37">
        <v>-1517.94013</v>
      </c>
      <c r="N760" s="39">
        <f t="shared" si="139"/>
        <v>-551.02031599999998</v>
      </c>
      <c r="O760" s="37">
        <v>-966.91981399999997</v>
      </c>
      <c r="P760" s="40">
        <v>0</v>
      </c>
      <c r="Q760" s="40">
        <v>0</v>
      </c>
      <c r="R760" s="41">
        <f t="shared" si="140"/>
        <v>0</v>
      </c>
      <c r="S760" s="42">
        <v>4039</v>
      </c>
    </row>
    <row r="761" spans="2:19" ht="15.75" x14ac:dyDescent="0.25">
      <c r="B761" s="34">
        <f t="shared" si="141"/>
        <v>12</v>
      </c>
      <c r="C761" s="34" t="s">
        <v>1107</v>
      </c>
      <c r="D761" s="35" t="s">
        <v>1108</v>
      </c>
      <c r="E761" s="36">
        <v>42551</v>
      </c>
      <c r="F761" s="37">
        <v>984.61828000000003</v>
      </c>
      <c r="G761" s="38">
        <v>10</v>
      </c>
      <c r="H761" s="39">
        <f t="shared" si="138"/>
        <v>98.461827999999997</v>
      </c>
      <c r="I761" s="37">
        <v>655.07294899999999</v>
      </c>
      <c r="J761" s="37">
        <v>727.63607400000001</v>
      </c>
      <c r="K761" s="37">
        <v>231.40212</v>
      </c>
      <c r="L761" s="37">
        <v>7.1996000000000004E-2</v>
      </c>
      <c r="M761" s="37">
        <v>-2.5322740000000001</v>
      </c>
      <c r="N761" s="39">
        <f t="shared" si="139"/>
        <v>1.3173879999999998</v>
      </c>
      <c r="O761" s="37">
        <v>-3.8496619999999999</v>
      </c>
      <c r="P761" s="40">
        <v>0</v>
      </c>
      <c r="Q761" s="40">
        <v>0</v>
      </c>
      <c r="R761" s="41">
        <f t="shared" si="140"/>
        <v>0</v>
      </c>
      <c r="S761" s="42">
        <v>5455</v>
      </c>
    </row>
    <row r="762" spans="2:19" ht="15.75" x14ac:dyDescent="0.25">
      <c r="B762" s="34">
        <f t="shared" si="141"/>
        <v>13</v>
      </c>
      <c r="C762" s="34" t="s">
        <v>1109</v>
      </c>
      <c r="D762" s="35" t="s">
        <v>1110</v>
      </c>
      <c r="E762" s="36">
        <v>42735</v>
      </c>
      <c r="F762" s="37">
        <v>92.364000000000004</v>
      </c>
      <c r="G762" s="38">
        <v>10</v>
      </c>
      <c r="H762" s="39">
        <f t="shared" si="138"/>
        <v>9.2363999999999997</v>
      </c>
      <c r="I762" s="37">
        <v>13033.5</v>
      </c>
      <c r="J762" s="37">
        <v>16424.702000000001</v>
      </c>
      <c r="K762" s="37">
        <v>25060.83</v>
      </c>
      <c r="L762" s="37">
        <v>17.835000000000001</v>
      </c>
      <c r="M762" s="37">
        <v>5707.375</v>
      </c>
      <c r="N762" s="39">
        <f t="shared" si="139"/>
        <v>1827.944</v>
      </c>
      <c r="O762" s="37">
        <v>3879.431</v>
      </c>
      <c r="P762" s="40">
        <f>500+600+600+3000</f>
        <v>4700</v>
      </c>
      <c r="Q762" s="40">
        <v>0</v>
      </c>
      <c r="R762" s="41">
        <f t="shared" si="140"/>
        <v>4700</v>
      </c>
      <c r="S762" s="42">
        <v>963</v>
      </c>
    </row>
    <row r="763" spans="2:19" ht="15.75" x14ac:dyDescent="0.25">
      <c r="B763" s="34">
        <f t="shared" si="141"/>
        <v>14</v>
      </c>
      <c r="C763" s="55" t="s">
        <v>1111</v>
      </c>
      <c r="D763" s="35" t="s">
        <v>1112</v>
      </c>
      <c r="E763" s="36">
        <v>42551</v>
      </c>
      <c r="F763" s="37">
        <v>39</v>
      </c>
      <c r="G763" s="38">
        <v>10</v>
      </c>
      <c r="H763" s="39">
        <f t="shared" si="138"/>
        <v>3.9</v>
      </c>
      <c r="I763" s="37">
        <v>326.15154999999999</v>
      </c>
      <c r="J763" s="37">
        <v>711.71237099999996</v>
      </c>
      <c r="K763" s="37">
        <v>1548.321733</v>
      </c>
      <c r="L763" s="37">
        <v>7.7547889999999997</v>
      </c>
      <c r="M763" s="37">
        <v>67.691721000000001</v>
      </c>
      <c r="N763" s="39">
        <f t="shared" si="139"/>
        <v>20.848660000000002</v>
      </c>
      <c r="O763" s="37">
        <v>46.843060999999999</v>
      </c>
      <c r="P763" s="40">
        <f>50</f>
        <v>50</v>
      </c>
      <c r="Q763" s="40">
        <v>0</v>
      </c>
      <c r="R763" s="41">
        <f t="shared" si="140"/>
        <v>50</v>
      </c>
      <c r="S763" s="42">
        <v>298</v>
      </c>
    </row>
    <row r="764" spans="2:19" ht="15.75" x14ac:dyDescent="0.25">
      <c r="B764" s="34">
        <f t="shared" si="141"/>
        <v>15</v>
      </c>
      <c r="C764" s="55" t="s">
        <v>1113</v>
      </c>
      <c r="D764" s="35" t="s">
        <v>1114</v>
      </c>
      <c r="E764" s="36">
        <v>42551</v>
      </c>
      <c r="F764" s="37">
        <v>79.86</v>
      </c>
      <c r="G764" s="38">
        <v>10</v>
      </c>
      <c r="H764" s="39">
        <f t="shared" si="138"/>
        <v>7.9859999999999998</v>
      </c>
      <c r="I764" s="37">
        <v>1834.365</v>
      </c>
      <c r="J764" s="37">
        <v>3267.7579999999998</v>
      </c>
      <c r="K764" s="37">
        <v>6816.54</v>
      </c>
      <c r="L764" s="37">
        <v>52.177999999999997</v>
      </c>
      <c r="M764" s="37">
        <v>203.476</v>
      </c>
      <c r="N764" s="39">
        <f t="shared" si="139"/>
        <v>9.1899999999999977</v>
      </c>
      <c r="O764" s="37">
        <v>194.286</v>
      </c>
      <c r="P764" s="40">
        <f>90</f>
        <v>90</v>
      </c>
      <c r="Q764" s="40">
        <v>0</v>
      </c>
      <c r="R764" s="41">
        <f t="shared" si="140"/>
        <v>90</v>
      </c>
      <c r="S764" s="42">
        <v>566</v>
      </c>
    </row>
    <row r="765" spans="2:19" ht="15.75" x14ac:dyDescent="0.25">
      <c r="B765" s="34">
        <f t="shared" si="141"/>
        <v>16</v>
      </c>
      <c r="C765" s="55" t="s">
        <v>1115</v>
      </c>
      <c r="D765" s="35" t="s">
        <v>1116</v>
      </c>
      <c r="E765" s="36">
        <v>42551</v>
      </c>
      <c r="F765" s="37">
        <v>1378.0440000000001</v>
      </c>
      <c r="G765" s="38">
        <v>10</v>
      </c>
      <c r="H765" s="39">
        <f t="shared" si="138"/>
        <v>137.80440000000002</v>
      </c>
      <c r="I765" s="37">
        <v>6844.4459999999999</v>
      </c>
      <c r="J765" s="37">
        <v>11398.361000000001</v>
      </c>
      <c r="K765" s="37">
        <v>4734.7870000000003</v>
      </c>
      <c r="L765" s="37">
        <v>348.13900000000001</v>
      </c>
      <c r="M765" s="37">
        <v>50.149000000000001</v>
      </c>
      <c r="N765" s="39">
        <f t="shared" si="139"/>
        <v>16.925000000000004</v>
      </c>
      <c r="O765" s="37">
        <v>33.223999999999997</v>
      </c>
      <c r="P765" s="40">
        <f>10</f>
        <v>10</v>
      </c>
      <c r="Q765" s="40">
        <v>0</v>
      </c>
      <c r="R765" s="41">
        <f t="shared" si="140"/>
        <v>10</v>
      </c>
      <c r="S765" s="42">
        <v>7253</v>
      </c>
    </row>
    <row r="766" spans="2:19" ht="15.75" x14ac:dyDescent="0.25">
      <c r="B766" s="34">
        <f t="shared" si="141"/>
        <v>17</v>
      </c>
      <c r="C766" s="34" t="s">
        <v>1117</v>
      </c>
      <c r="D766" s="35" t="s">
        <v>1118</v>
      </c>
      <c r="E766" s="36">
        <v>42735</v>
      </c>
      <c r="F766" s="37">
        <v>61.576000000000001</v>
      </c>
      <c r="G766" s="38">
        <v>10</v>
      </c>
      <c r="H766" s="39">
        <f t="shared" si="138"/>
        <v>6.1576000000000004</v>
      </c>
      <c r="I766" s="37">
        <v>1804.9179999999999</v>
      </c>
      <c r="J766" s="37">
        <v>4618.0950000000003</v>
      </c>
      <c r="K766" s="37">
        <v>9466.8359999999993</v>
      </c>
      <c r="L766" s="37">
        <v>34.47</v>
      </c>
      <c r="M766" s="37">
        <v>1767.758</v>
      </c>
      <c r="N766" s="39">
        <f t="shared" si="139"/>
        <v>491.6690000000001</v>
      </c>
      <c r="O766" s="37">
        <v>1276.0889999999999</v>
      </c>
      <c r="P766" s="40">
        <f>909.7+2780</f>
        <v>3689.7</v>
      </c>
      <c r="Q766" s="40">
        <v>0</v>
      </c>
      <c r="R766" s="41">
        <f t="shared" si="140"/>
        <v>3689.7</v>
      </c>
      <c r="S766" s="42">
        <v>853</v>
      </c>
    </row>
    <row r="767" spans="2:19" ht="15.75" x14ac:dyDescent="0.25">
      <c r="B767" s="34">
        <f t="shared" si="141"/>
        <v>18</v>
      </c>
      <c r="C767" s="55" t="s">
        <v>1119</v>
      </c>
      <c r="D767" s="35" t="s">
        <v>1120</v>
      </c>
      <c r="E767" s="36">
        <v>42735</v>
      </c>
      <c r="F767" s="37">
        <v>61.225999999999999</v>
      </c>
      <c r="G767" s="38">
        <v>10</v>
      </c>
      <c r="H767" s="39">
        <f t="shared" si="138"/>
        <v>6.1226000000000003</v>
      </c>
      <c r="I767" s="37">
        <v>139.166</v>
      </c>
      <c r="J767" s="37">
        <v>836.524</v>
      </c>
      <c r="K767" s="37">
        <v>1463.0419999999999</v>
      </c>
      <c r="L767" s="37">
        <v>20.006</v>
      </c>
      <c r="M767" s="37">
        <v>6.0430000000000001</v>
      </c>
      <c r="N767" s="39">
        <f t="shared" si="139"/>
        <v>2.1070000000000002</v>
      </c>
      <c r="O767" s="37">
        <v>3.9359999999999999</v>
      </c>
      <c r="P767" s="40">
        <v>5</v>
      </c>
      <c r="Q767" s="40">
        <v>0</v>
      </c>
      <c r="R767" s="41">
        <f t="shared" si="140"/>
        <v>5</v>
      </c>
      <c r="S767" s="42">
        <v>1298</v>
      </c>
    </row>
    <row r="768" spans="2:19" ht="15.75" x14ac:dyDescent="0.25">
      <c r="B768" s="62"/>
      <c r="C768" s="70"/>
      <c r="D768" s="77"/>
      <c r="E768" s="64"/>
      <c r="F768" s="78"/>
      <c r="G768" s="43"/>
      <c r="H768" s="79"/>
      <c r="I768" s="78"/>
      <c r="J768" s="78"/>
      <c r="K768" s="78"/>
      <c r="L768" s="78"/>
      <c r="M768" s="78"/>
      <c r="N768" s="79"/>
      <c r="O768" s="78"/>
      <c r="P768" s="80"/>
      <c r="Q768" s="80"/>
      <c r="R768" s="81"/>
      <c r="S768" s="82"/>
    </row>
    <row r="769" spans="2:19" ht="18.75" x14ac:dyDescent="0.3">
      <c r="B769" s="29"/>
      <c r="C769" s="29"/>
      <c r="D769" s="57" t="s">
        <v>45</v>
      </c>
      <c r="E769" s="29"/>
      <c r="F769" s="29"/>
      <c r="G769" s="43"/>
      <c r="H769" s="44"/>
      <c r="I769" s="31"/>
      <c r="J769" s="31"/>
      <c r="K769" s="31"/>
      <c r="L769" s="31"/>
      <c r="M769" s="31"/>
      <c r="N769" s="45"/>
      <c r="O769" s="31"/>
      <c r="P769" s="31"/>
      <c r="Q769" s="31"/>
      <c r="R769" s="45"/>
      <c r="S769" s="31"/>
    </row>
    <row r="770" spans="2:19" ht="15.75" x14ac:dyDescent="0.25">
      <c r="B770" s="34">
        <v>1</v>
      </c>
      <c r="C770" s="55" t="s">
        <v>1121</v>
      </c>
      <c r="D770" s="35" t="s">
        <v>1122</v>
      </c>
      <c r="E770" s="36">
        <v>42551</v>
      </c>
      <c r="F770" s="37"/>
      <c r="G770" s="38">
        <v>10</v>
      </c>
      <c r="H770" s="39">
        <f>+F770/G770</f>
        <v>0</v>
      </c>
      <c r="I770" s="37"/>
      <c r="J770" s="37"/>
      <c r="K770" s="37"/>
      <c r="L770" s="37"/>
      <c r="M770" s="37"/>
      <c r="N770" s="39">
        <f>+M770-O770</f>
        <v>0</v>
      </c>
      <c r="O770" s="37"/>
      <c r="P770" s="40"/>
      <c r="Q770" s="40"/>
      <c r="R770" s="41">
        <f>SUM(P770:Q770)</f>
        <v>0</v>
      </c>
      <c r="S770" s="42"/>
    </row>
    <row r="771" spans="2:19" ht="15.75" x14ac:dyDescent="0.25">
      <c r="B771" s="29"/>
      <c r="C771" s="29"/>
      <c r="D771" s="29"/>
      <c r="E771" s="29"/>
      <c r="F771" s="29"/>
      <c r="G771" s="43"/>
      <c r="H771" s="44"/>
      <c r="I771" s="31"/>
      <c r="J771" s="31"/>
      <c r="K771" s="31"/>
      <c r="L771" s="31"/>
      <c r="M771" s="31"/>
      <c r="N771" s="45"/>
      <c r="O771" s="31"/>
      <c r="P771" s="31"/>
      <c r="Q771" s="31"/>
      <c r="R771" s="45"/>
      <c r="S771" s="31"/>
    </row>
    <row r="772" spans="2:19" ht="15.75" x14ac:dyDescent="0.25">
      <c r="B772" s="34">
        <f>COUNT(B750:B771)</f>
        <v>19</v>
      </c>
      <c r="C772" s="34"/>
      <c r="D772" s="48"/>
      <c r="E772" s="48"/>
      <c r="F772" s="48">
        <f>SUM(F750:F771)</f>
        <v>14798.817276</v>
      </c>
      <c r="G772" s="49"/>
      <c r="H772" s="50">
        <f t="shared" ref="H772:O772" si="142">SUM(H750:H771)</f>
        <v>1531.6851276000002</v>
      </c>
      <c r="I772" s="48">
        <f t="shared" si="142"/>
        <v>71789.671674000012</v>
      </c>
      <c r="J772" s="48">
        <f t="shared" si="142"/>
        <v>165731.07042999999</v>
      </c>
      <c r="K772" s="48">
        <f t="shared" si="142"/>
        <v>257638.71502599999</v>
      </c>
      <c r="L772" s="48">
        <f t="shared" si="142"/>
        <v>2903.3653380000001</v>
      </c>
      <c r="M772" s="48">
        <f t="shared" si="142"/>
        <v>31235.791962000003</v>
      </c>
      <c r="N772" s="51">
        <f t="shared" si="142"/>
        <v>9274.0822659999976</v>
      </c>
      <c r="O772" s="48">
        <f t="shared" si="142"/>
        <v>21961.709695999998</v>
      </c>
      <c r="P772" s="52"/>
      <c r="Q772" s="52"/>
      <c r="R772" s="53"/>
      <c r="S772" s="54">
        <f>SUM(S750:S771)</f>
        <v>42868</v>
      </c>
    </row>
    <row r="773" spans="2:19" ht="15.75" x14ac:dyDescent="0.25">
      <c r="B773" s="29"/>
      <c r="C773" s="29"/>
      <c r="D773" s="29"/>
      <c r="E773" s="29"/>
      <c r="F773" s="29"/>
      <c r="G773" s="43"/>
      <c r="H773" s="44"/>
      <c r="I773" s="31"/>
      <c r="J773" s="31"/>
      <c r="K773" s="31"/>
      <c r="L773" s="31"/>
      <c r="M773" s="31"/>
      <c r="N773" s="45"/>
      <c r="O773" s="31"/>
      <c r="P773" s="31"/>
      <c r="Q773" s="31"/>
      <c r="R773" s="45"/>
      <c r="S773" s="31"/>
    </row>
    <row r="774" spans="2:19" ht="15.75" x14ac:dyDescent="0.25">
      <c r="B774" s="29"/>
      <c r="C774" s="29"/>
      <c r="D774" s="29"/>
      <c r="E774" s="29"/>
      <c r="F774" s="29"/>
      <c r="G774" s="43"/>
      <c r="H774" s="44"/>
      <c r="I774" s="31"/>
      <c r="J774" s="31"/>
      <c r="K774" s="31"/>
      <c r="L774" s="31"/>
      <c r="M774" s="31"/>
      <c r="N774" s="45"/>
      <c r="O774" s="31"/>
      <c r="P774" s="31"/>
      <c r="Q774" s="31"/>
      <c r="R774" s="45"/>
      <c r="S774" s="31"/>
    </row>
    <row r="775" spans="2:19" ht="18.75" x14ac:dyDescent="0.3">
      <c r="B775" s="29"/>
      <c r="C775" s="33">
        <v>34</v>
      </c>
      <c r="D775" s="33" t="s">
        <v>1123</v>
      </c>
      <c r="E775" s="61"/>
      <c r="F775" s="61"/>
      <c r="G775" s="43"/>
      <c r="H775" s="44"/>
      <c r="I775" s="31"/>
      <c r="J775" s="31"/>
      <c r="K775" s="31"/>
      <c r="L775" s="31"/>
      <c r="M775" s="31"/>
      <c r="N775" s="45"/>
      <c r="O775" s="31"/>
      <c r="P775" s="31"/>
      <c r="Q775" s="31"/>
      <c r="R775" s="45"/>
      <c r="S775" s="31"/>
    </row>
    <row r="776" spans="2:19" ht="15.75" x14ac:dyDescent="0.25">
      <c r="B776" s="29"/>
      <c r="C776" s="29"/>
      <c r="D776" s="29"/>
      <c r="E776" s="29"/>
      <c r="F776" s="29"/>
      <c r="G776" s="43"/>
      <c r="H776" s="44"/>
      <c r="I776" s="31"/>
      <c r="J776" s="31"/>
      <c r="K776" s="31"/>
      <c r="L776" s="31"/>
      <c r="M776" s="31"/>
      <c r="N776" s="45"/>
      <c r="O776" s="31"/>
      <c r="P776" s="31"/>
      <c r="Q776" s="31"/>
      <c r="R776" s="45"/>
      <c r="S776" s="31"/>
    </row>
    <row r="777" spans="2:19" ht="15.75" x14ac:dyDescent="0.25">
      <c r="B777" s="34">
        <v>1</v>
      </c>
      <c r="C777" s="34" t="s">
        <v>1124</v>
      </c>
      <c r="D777" s="35" t="s">
        <v>1125</v>
      </c>
      <c r="E777" s="36">
        <v>42551</v>
      </c>
      <c r="F777" s="37">
        <v>1716</v>
      </c>
      <c r="G777" s="38">
        <v>10</v>
      </c>
      <c r="H777" s="39">
        <f t="shared" ref="H777:H784" si="143">+F777/G777</f>
        <v>171.6</v>
      </c>
      <c r="I777" s="37">
        <v>-3244.3530000000001</v>
      </c>
      <c r="J777" s="37">
        <v>2094.9540000000002</v>
      </c>
      <c r="K777" s="37">
        <v>1494.5029999999999</v>
      </c>
      <c r="L777" s="37">
        <v>205.792</v>
      </c>
      <c r="M777" s="37">
        <v>-528.08100000000002</v>
      </c>
      <c r="N777" s="39">
        <f t="shared" ref="N777:N784" si="144">+M777-O777</f>
        <v>-3.7520000000000664</v>
      </c>
      <c r="O777" s="37">
        <v>-524.32899999999995</v>
      </c>
      <c r="P777" s="40">
        <v>0</v>
      </c>
      <c r="Q777" s="40">
        <v>0</v>
      </c>
      <c r="R777" s="41">
        <f t="shared" ref="R777:R784" si="145">SUM(P777:Q777)</f>
        <v>0</v>
      </c>
      <c r="S777" s="42">
        <v>2301</v>
      </c>
    </row>
    <row r="778" spans="2:19" ht="15.75" x14ac:dyDescent="0.25">
      <c r="B778" s="34">
        <f>+B777+1</f>
        <v>2</v>
      </c>
      <c r="C778" s="34" t="s">
        <v>1126</v>
      </c>
      <c r="D778" s="35" t="s">
        <v>1127</v>
      </c>
      <c r="E778" s="36">
        <v>42551</v>
      </c>
      <c r="F778" s="37">
        <v>378.73820999999998</v>
      </c>
      <c r="G778" s="38">
        <v>10</v>
      </c>
      <c r="H778" s="39">
        <f t="shared" si="143"/>
        <v>37.873821</v>
      </c>
      <c r="I778" s="37">
        <v>219.79718800000001</v>
      </c>
      <c r="J778" s="37">
        <v>1097.224346</v>
      </c>
      <c r="K778" s="37">
        <v>408.44676800000002</v>
      </c>
      <c r="L778" s="37">
        <v>9.6439839999999997</v>
      </c>
      <c r="M778" s="37">
        <v>1.688992</v>
      </c>
      <c r="N778" s="39">
        <f t="shared" si="144"/>
        <v>-0.86698099999999978</v>
      </c>
      <c r="O778" s="37">
        <v>2.5559729999999998</v>
      </c>
      <c r="P778" s="40">
        <v>0</v>
      </c>
      <c r="Q778" s="40">
        <v>0</v>
      </c>
      <c r="R778" s="41">
        <f t="shared" si="145"/>
        <v>0</v>
      </c>
      <c r="S778" s="42">
        <v>942</v>
      </c>
    </row>
    <row r="779" spans="2:19" ht="15.75" x14ac:dyDescent="0.25">
      <c r="B779" s="34">
        <f t="shared" ref="B779:B784" si="146">+B778+1</f>
        <v>3</v>
      </c>
      <c r="C779" s="34" t="s">
        <v>1128</v>
      </c>
      <c r="D779" s="35" t="s">
        <v>1129</v>
      </c>
      <c r="E779" s="36">
        <v>42551</v>
      </c>
      <c r="F779" s="37">
        <v>500</v>
      </c>
      <c r="G779" s="38">
        <v>10</v>
      </c>
      <c r="H779" s="39">
        <f>+F779/G779</f>
        <v>50</v>
      </c>
      <c r="I779" s="37">
        <v>924.99228400000004</v>
      </c>
      <c r="J779" s="37">
        <v>1717.2546420000001</v>
      </c>
      <c r="K779" s="37">
        <v>66.022931999999997</v>
      </c>
      <c r="L779" s="37">
        <v>17.541398999999998</v>
      </c>
      <c r="M779" s="37">
        <v>-45.539569</v>
      </c>
      <c r="N779" s="39">
        <f>+M779-O779</f>
        <v>5.6961689999999976</v>
      </c>
      <c r="O779" s="37">
        <v>-51.235737999999998</v>
      </c>
      <c r="P779" s="40">
        <v>0</v>
      </c>
      <c r="Q779" s="40">
        <v>0</v>
      </c>
      <c r="R779" s="41">
        <f>SUM(P779:Q779)</f>
        <v>0</v>
      </c>
      <c r="S779" s="42">
        <v>1760</v>
      </c>
    </row>
    <row r="780" spans="2:19" ht="15.75" x14ac:dyDescent="0.25">
      <c r="B780" s="34">
        <f t="shared" si="146"/>
        <v>4</v>
      </c>
      <c r="C780" s="34" t="s">
        <v>1130</v>
      </c>
      <c r="D780" s="35" t="s">
        <v>1131</v>
      </c>
      <c r="E780" s="36">
        <v>42551</v>
      </c>
      <c r="F780" s="37">
        <v>2192.4804300000001</v>
      </c>
      <c r="G780" s="38">
        <v>10</v>
      </c>
      <c r="H780" s="39">
        <f t="shared" si="143"/>
        <v>219.248043</v>
      </c>
      <c r="I780" s="37">
        <v>10254.26909</v>
      </c>
      <c r="J780" s="37">
        <v>13973.840316</v>
      </c>
      <c r="K780" s="37">
        <v>11784.846928999999</v>
      </c>
      <c r="L780" s="37">
        <v>37.437226000000003</v>
      </c>
      <c r="M780" s="37">
        <v>2409.8575970000002</v>
      </c>
      <c r="N780" s="39">
        <f t="shared" si="144"/>
        <v>436.46391500000027</v>
      </c>
      <c r="O780" s="37">
        <v>1973.3936819999999</v>
      </c>
      <c r="P780" s="40">
        <f>20+20+30+25</f>
        <v>95</v>
      </c>
      <c r="Q780" s="40">
        <v>0</v>
      </c>
      <c r="R780" s="41">
        <f t="shared" si="145"/>
        <v>95</v>
      </c>
      <c r="S780" s="42">
        <v>1661</v>
      </c>
    </row>
    <row r="781" spans="2:19" ht="15.75" x14ac:dyDescent="0.25">
      <c r="B781" s="34">
        <f t="shared" si="146"/>
        <v>5</v>
      </c>
      <c r="C781" s="55" t="s">
        <v>1132</v>
      </c>
      <c r="D781" s="35" t="s">
        <v>1133</v>
      </c>
      <c r="E781" s="36">
        <v>42551</v>
      </c>
      <c r="F781" s="37">
        <v>299.51625000000001</v>
      </c>
      <c r="G781" s="38">
        <v>10</v>
      </c>
      <c r="H781" s="39">
        <f t="shared" si="143"/>
        <v>29.951625</v>
      </c>
      <c r="I781" s="37">
        <v>371.00316800000002</v>
      </c>
      <c r="J781" s="37">
        <v>963.38328000000001</v>
      </c>
      <c r="K781" s="37">
        <v>841.20861300000001</v>
      </c>
      <c r="L781" s="37">
        <v>1.2734719999999999</v>
      </c>
      <c r="M781" s="37">
        <v>19.694842999999999</v>
      </c>
      <c r="N781" s="39">
        <f t="shared" si="144"/>
        <v>1.1492329999999988</v>
      </c>
      <c r="O781" s="37">
        <v>18.54561</v>
      </c>
      <c r="P781" s="40">
        <v>0</v>
      </c>
      <c r="Q781" s="40">
        <v>0</v>
      </c>
      <c r="R781" s="41">
        <f t="shared" si="145"/>
        <v>0</v>
      </c>
      <c r="S781" s="42">
        <v>812</v>
      </c>
    </row>
    <row r="782" spans="2:19" ht="15.75" x14ac:dyDescent="0.25">
      <c r="B782" s="34">
        <f t="shared" si="146"/>
        <v>6</v>
      </c>
      <c r="C782" s="34" t="s">
        <v>1134</v>
      </c>
      <c r="D782" s="35" t="s">
        <v>1135</v>
      </c>
      <c r="E782" s="36">
        <v>42551</v>
      </c>
      <c r="F782" s="37">
        <v>145.48676</v>
      </c>
      <c r="G782" s="38">
        <v>10</v>
      </c>
      <c r="H782" s="39">
        <f t="shared" si="143"/>
        <v>14.548676</v>
      </c>
      <c r="I782" s="37">
        <v>292.28629699999999</v>
      </c>
      <c r="J782" s="37">
        <v>1548.624403</v>
      </c>
      <c r="K782" s="37">
        <v>1196.043437</v>
      </c>
      <c r="L782" s="37">
        <v>47.405197999999999</v>
      </c>
      <c r="M782" s="37">
        <v>-6.4707000000000001E-2</v>
      </c>
      <c r="N782" s="39">
        <f t="shared" si="144"/>
        <v>22.382567000000002</v>
      </c>
      <c r="O782" s="37">
        <v>-22.447274</v>
      </c>
      <c r="P782" s="40">
        <v>0</v>
      </c>
      <c r="Q782" s="40">
        <v>0</v>
      </c>
      <c r="R782" s="41">
        <f t="shared" si="145"/>
        <v>0</v>
      </c>
      <c r="S782" s="42">
        <v>365</v>
      </c>
    </row>
    <row r="783" spans="2:19" ht="15.75" x14ac:dyDescent="0.25">
      <c r="B783" s="34">
        <f t="shared" si="146"/>
        <v>7</v>
      </c>
      <c r="C783" s="34" t="s">
        <v>1136</v>
      </c>
      <c r="D783" s="35" t="s">
        <v>1137</v>
      </c>
      <c r="E783" s="36">
        <v>42551</v>
      </c>
      <c r="F783" s="37">
        <v>1196.6010000000001</v>
      </c>
      <c r="G783" s="38">
        <v>5</v>
      </c>
      <c r="H783" s="39">
        <f t="shared" si="143"/>
        <v>239.32020000000003</v>
      </c>
      <c r="I783" s="37">
        <v>1947.05</v>
      </c>
      <c r="J783" s="37">
        <v>4660.6180000000004</v>
      </c>
      <c r="K783" s="37">
        <v>4611.67</v>
      </c>
      <c r="L783" s="37">
        <v>82.888000000000005</v>
      </c>
      <c r="M783" s="37">
        <v>-116.087</v>
      </c>
      <c r="N783" s="39">
        <f t="shared" si="144"/>
        <v>0.54500000000000171</v>
      </c>
      <c r="O783" s="37">
        <v>-116.63200000000001</v>
      </c>
      <c r="P783" s="40">
        <v>0</v>
      </c>
      <c r="Q783" s="40">
        <v>0</v>
      </c>
      <c r="R783" s="41">
        <f t="shared" si="145"/>
        <v>0</v>
      </c>
      <c r="S783" s="42">
        <v>4640</v>
      </c>
    </row>
    <row r="784" spans="2:19" ht="15.75" x14ac:dyDescent="0.25">
      <c r="B784" s="34">
        <f t="shared" si="146"/>
        <v>8</v>
      </c>
      <c r="C784" s="55" t="s">
        <v>1138</v>
      </c>
      <c r="D784" s="35" t="s">
        <v>1139</v>
      </c>
      <c r="E784" s="36">
        <v>42551</v>
      </c>
      <c r="F784" s="37">
        <v>734.58</v>
      </c>
      <c r="G784" s="38">
        <v>10</v>
      </c>
      <c r="H784" s="39">
        <f t="shared" si="143"/>
        <v>73.457999999999998</v>
      </c>
      <c r="I784" s="37">
        <v>3182.1094330000001</v>
      </c>
      <c r="J784" s="37">
        <v>8643.6252820000009</v>
      </c>
      <c r="K784" s="37">
        <v>8076.0145890000003</v>
      </c>
      <c r="L784" s="37">
        <v>336.30100800000002</v>
      </c>
      <c r="M784" s="37">
        <v>649.47589200000004</v>
      </c>
      <c r="N784" s="39">
        <f t="shared" si="144"/>
        <v>159.40956800000004</v>
      </c>
      <c r="O784" s="37">
        <v>490.06632400000001</v>
      </c>
      <c r="P784" s="40">
        <f>27</f>
        <v>27</v>
      </c>
      <c r="Q784" s="40">
        <v>0</v>
      </c>
      <c r="R784" s="41">
        <f t="shared" si="145"/>
        <v>27</v>
      </c>
      <c r="S784" s="42">
        <v>1808</v>
      </c>
    </row>
    <row r="785" spans="2:19" ht="15.75" x14ac:dyDescent="0.25">
      <c r="B785" s="29"/>
      <c r="C785" s="29"/>
      <c r="D785" s="29"/>
      <c r="E785" s="29"/>
      <c r="F785" s="29"/>
      <c r="G785" s="43"/>
      <c r="H785" s="44"/>
      <c r="I785" s="31"/>
      <c r="J785" s="31"/>
      <c r="K785" s="31"/>
      <c r="L785" s="31"/>
      <c r="M785" s="31"/>
      <c r="N785" s="45"/>
      <c r="O785" s="31"/>
      <c r="P785" s="31"/>
      <c r="Q785" s="31"/>
      <c r="R785" s="45"/>
      <c r="S785" s="31"/>
    </row>
    <row r="786" spans="2:19" ht="18.75" x14ac:dyDescent="0.3">
      <c r="B786" s="29"/>
      <c r="C786" s="29"/>
      <c r="D786" s="57" t="s">
        <v>45</v>
      </c>
      <c r="E786" s="29"/>
      <c r="F786" s="29"/>
      <c r="G786" s="43"/>
      <c r="H786" s="44"/>
      <c r="I786" s="31"/>
      <c r="J786" s="31"/>
      <c r="K786" s="31"/>
      <c r="L786" s="31"/>
      <c r="M786" s="31"/>
      <c r="N786" s="45"/>
      <c r="O786" s="31"/>
      <c r="P786" s="31"/>
      <c r="Q786" s="31"/>
      <c r="R786" s="45"/>
      <c r="S786" s="31"/>
    </row>
    <row r="787" spans="2:19" ht="15.75" x14ac:dyDescent="0.25">
      <c r="B787" s="55">
        <v>1</v>
      </c>
      <c r="C787" s="55" t="s">
        <v>1140</v>
      </c>
      <c r="D787" s="35" t="s">
        <v>1141</v>
      </c>
      <c r="E787" s="36">
        <v>42551</v>
      </c>
      <c r="F787" s="37"/>
      <c r="G787" s="38">
        <v>10</v>
      </c>
      <c r="H787" s="39">
        <f>+F787/G787</f>
        <v>0</v>
      </c>
      <c r="I787" s="37"/>
      <c r="J787" s="37"/>
      <c r="K787" s="37"/>
      <c r="L787" s="37"/>
      <c r="M787" s="37"/>
      <c r="N787" s="39">
        <f>+M787-O787</f>
        <v>0</v>
      </c>
      <c r="O787" s="37"/>
      <c r="P787" s="40"/>
      <c r="Q787" s="40"/>
      <c r="R787" s="41">
        <f>SUM(P787:Q787)</f>
        <v>0</v>
      </c>
      <c r="S787" s="42"/>
    </row>
    <row r="788" spans="2:19" ht="15.75" x14ac:dyDescent="0.25">
      <c r="B788" s="29"/>
      <c r="C788" s="29"/>
      <c r="D788" s="29"/>
      <c r="E788" s="29"/>
      <c r="F788" s="29"/>
      <c r="G788" s="43"/>
      <c r="H788" s="44"/>
      <c r="I788" s="31"/>
      <c r="J788" s="31"/>
      <c r="K788" s="31"/>
      <c r="L788" s="31"/>
      <c r="M788" s="31"/>
      <c r="N788" s="45"/>
      <c r="O788" s="31"/>
      <c r="P788" s="31"/>
      <c r="Q788" s="31"/>
      <c r="R788" s="45"/>
      <c r="S788" s="31"/>
    </row>
    <row r="789" spans="2:19" ht="15.75" x14ac:dyDescent="0.25">
      <c r="B789" s="34">
        <f>COUNT(B777:B788)</f>
        <v>9</v>
      </c>
      <c r="C789" s="34"/>
      <c r="D789" s="48"/>
      <c r="E789" s="48"/>
      <c r="F789" s="48">
        <f>SUM(F777:F788)</f>
        <v>7163.40265</v>
      </c>
      <c r="G789" s="49"/>
      <c r="H789" s="50">
        <f t="shared" ref="H789:O789" si="147">SUM(H777:H788)</f>
        <v>836.00036499999987</v>
      </c>
      <c r="I789" s="48">
        <f t="shared" si="147"/>
        <v>13947.154459999998</v>
      </c>
      <c r="J789" s="48">
        <f t="shared" si="147"/>
        <v>34699.524269000009</v>
      </c>
      <c r="K789" s="48">
        <f t="shared" si="147"/>
        <v>28478.756267999997</v>
      </c>
      <c r="L789" s="48">
        <f t="shared" si="147"/>
        <v>738.282287</v>
      </c>
      <c r="M789" s="48">
        <f t="shared" si="147"/>
        <v>2390.945048</v>
      </c>
      <c r="N789" s="51">
        <f t="shared" si="147"/>
        <v>621.02747100000022</v>
      </c>
      <c r="O789" s="48">
        <f t="shared" si="147"/>
        <v>1769.9175769999997</v>
      </c>
      <c r="P789" s="52"/>
      <c r="Q789" s="52"/>
      <c r="R789" s="53"/>
      <c r="S789" s="54">
        <f>SUM(S777:S788)</f>
        <v>14289</v>
      </c>
    </row>
    <row r="790" spans="2:19" ht="15.75" x14ac:dyDescent="0.25">
      <c r="B790" s="29"/>
      <c r="C790" s="29"/>
      <c r="D790" s="29"/>
      <c r="E790" s="29"/>
      <c r="F790" s="29"/>
      <c r="G790" s="43"/>
      <c r="H790" s="44"/>
      <c r="I790" s="31"/>
      <c r="J790" s="31"/>
      <c r="K790" s="31"/>
      <c r="L790" s="31"/>
      <c r="M790" s="31"/>
      <c r="N790" s="45"/>
      <c r="O790" s="31"/>
      <c r="P790" s="31"/>
      <c r="Q790" s="31"/>
      <c r="R790" s="45"/>
      <c r="S790" s="31"/>
    </row>
    <row r="791" spans="2:19" ht="15.75" x14ac:dyDescent="0.25">
      <c r="B791" s="29"/>
      <c r="C791" s="29"/>
      <c r="D791" s="29"/>
      <c r="E791" s="29"/>
      <c r="F791" s="29"/>
      <c r="G791" s="43"/>
      <c r="H791" s="44"/>
      <c r="I791" s="31"/>
      <c r="J791" s="31"/>
      <c r="K791" s="31"/>
      <c r="L791" s="31"/>
      <c r="M791" s="31"/>
      <c r="N791" s="45"/>
      <c r="O791" s="31"/>
      <c r="P791" s="31"/>
      <c r="Q791" s="31"/>
      <c r="R791" s="45"/>
      <c r="S791" s="31"/>
    </row>
    <row r="792" spans="2:19" ht="18.75" x14ac:dyDescent="0.3">
      <c r="B792" s="29"/>
      <c r="C792" s="33">
        <v>35</v>
      </c>
      <c r="D792" s="33" t="s">
        <v>1142</v>
      </c>
      <c r="E792" s="61"/>
      <c r="F792" s="61"/>
      <c r="G792" s="43"/>
      <c r="H792" s="44"/>
      <c r="I792" s="31"/>
      <c r="J792" s="31"/>
      <c r="K792" s="31"/>
      <c r="L792" s="31"/>
      <c r="M792" s="31"/>
      <c r="N792" s="45"/>
      <c r="O792" s="31"/>
      <c r="P792" s="31"/>
      <c r="Q792" s="31"/>
      <c r="R792" s="45"/>
      <c r="S792" s="31"/>
    </row>
    <row r="793" spans="2:19" ht="15.75" x14ac:dyDescent="0.25">
      <c r="B793" s="29"/>
      <c r="C793" s="29"/>
      <c r="D793" s="29"/>
      <c r="E793" s="29"/>
      <c r="F793" s="29"/>
      <c r="G793" s="43"/>
      <c r="H793" s="44"/>
      <c r="I793" s="31"/>
      <c r="J793" s="31"/>
      <c r="K793" s="31"/>
      <c r="L793" s="31"/>
      <c r="M793" s="31"/>
      <c r="N793" s="45"/>
      <c r="O793" s="31"/>
      <c r="P793" s="31"/>
      <c r="Q793" s="31"/>
      <c r="R793" s="45"/>
      <c r="S793" s="31"/>
    </row>
    <row r="794" spans="2:19" ht="15.75" x14ac:dyDescent="0.25">
      <c r="B794" s="55">
        <v>1</v>
      </c>
      <c r="C794" s="55" t="s">
        <v>1143</v>
      </c>
      <c r="D794" s="35" t="s">
        <v>1144</v>
      </c>
      <c r="E794" s="36">
        <v>42551</v>
      </c>
      <c r="F794" s="37">
        <v>25.072732999999999</v>
      </c>
      <c r="G794" s="38">
        <v>10</v>
      </c>
      <c r="H794" s="39">
        <f t="shared" ref="H794:H812" si="148">+F794/G794</f>
        <v>2.5072733</v>
      </c>
      <c r="I794" s="37">
        <v>34.349564000000001</v>
      </c>
      <c r="J794" s="37">
        <v>39.173617999999998</v>
      </c>
      <c r="K794" s="37">
        <v>8</v>
      </c>
      <c r="L794" s="37">
        <v>3.1808000000000003E-2</v>
      </c>
      <c r="M794" s="37">
        <v>4.8436110000000001</v>
      </c>
      <c r="N794" s="39">
        <f t="shared" ref="N794:N812" si="149">+M794-O794</f>
        <v>3.5514760000000001</v>
      </c>
      <c r="O794" s="37">
        <v>1.292135</v>
      </c>
      <c r="P794" s="40">
        <f>10</f>
        <v>10</v>
      </c>
      <c r="Q794" s="40">
        <v>0</v>
      </c>
      <c r="R794" s="41">
        <f t="shared" ref="R794:R812" si="150">SUM(P794:Q794)</f>
        <v>10</v>
      </c>
      <c r="S794" s="42">
        <v>995</v>
      </c>
    </row>
    <row r="795" spans="2:19" ht="15.75" x14ac:dyDescent="0.25">
      <c r="B795" s="55">
        <f>+B794+1</f>
        <v>2</v>
      </c>
      <c r="C795" s="34" t="s">
        <v>1145</v>
      </c>
      <c r="D795" s="35" t="s">
        <v>1146</v>
      </c>
      <c r="E795" s="36">
        <v>42551</v>
      </c>
      <c r="F795" s="37">
        <v>100</v>
      </c>
      <c r="G795" s="38">
        <v>10</v>
      </c>
      <c r="H795" s="39">
        <f t="shared" si="148"/>
        <v>10</v>
      </c>
      <c r="I795" s="37">
        <v>185.66122999999999</v>
      </c>
      <c r="J795" s="37">
        <v>468.43967900000001</v>
      </c>
      <c r="K795" s="37">
        <v>351.32147900000001</v>
      </c>
      <c r="L795" s="37">
        <v>2.5890599999999999</v>
      </c>
      <c r="M795" s="37">
        <v>10.202953000000001</v>
      </c>
      <c r="N795" s="39">
        <f t="shared" si="149"/>
        <v>2.4820990000000007</v>
      </c>
      <c r="O795" s="37">
        <v>7.7208540000000001</v>
      </c>
      <c r="P795" s="40">
        <v>0</v>
      </c>
      <c r="Q795" s="40">
        <v>0</v>
      </c>
      <c r="R795" s="41">
        <f t="shared" si="150"/>
        <v>0</v>
      </c>
      <c r="S795" s="42">
        <v>367</v>
      </c>
    </row>
    <row r="796" spans="2:19" ht="15.75" x14ac:dyDescent="0.25">
      <c r="B796" s="55">
        <f t="shared" ref="B796:B812" si="151">+B795+1</f>
        <v>3</v>
      </c>
      <c r="C796" s="34" t="s">
        <v>1147</v>
      </c>
      <c r="D796" s="35" t="s">
        <v>1148</v>
      </c>
      <c r="E796" s="36">
        <v>42551</v>
      </c>
      <c r="F796" s="37">
        <v>40</v>
      </c>
      <c r="G796" s="38">
        <v>10</v>
      </c>
      <c r="H796" s="39">
        <f t="shared" si="148"/>
        <v>4</v>
      </c>
      <c r="I796" s="37">
        <v>309.28173199999998</v>
      </c>
      <c r="J796" s="37">
        <v>313.504189</v>
      </c>
      <c r="K796" s="37">
        <v>10.903969999999999</v>
      </c>
      <c r="L796" s="37">
        <v>9.6240000000000006E-3</v>
      </c>
      <c r="M796" s="37">
        <v>13.483257999999999</v>
      </c>
      <c r="N796" s="39">
        <f t="shared" si="149"/>
        <v>1.2558919999999993</v>
      </c>
      <c r="O796" s="37">
        <v>12.227366</v>
      </c>
      <c r="P796" s="40">
        <f>15</f>
        <v>15</v>
      </c>
      <c r="Q796" s="40">
        <v>0</v>
      </c>
      <c r="R796" s="41">
        <f t="shared" si="150"/>
        <v>15</v>
      </c>
      <c r="S796" s="42">
        <v>870</v>
      </c>
    </row>
    <row r="797" spans="2:19" ht="15.75" x14ac:dyDescent="0.25">
      <c r="B797" s="55">
        <f t="shared" si="151"/>
        <v>4</v>
      </c>
      <c r="C797" s="55" t="s">
        <v>1149</v>
      </c>
      <c r="D797" s="35" t="s">
        <v>1150</v>
      </c>
      <c r="E797" s="36">
        <v>42551</v>
      </c>
      <c r="F797" s="37">
        <v>90</v>
      </c>
      <c r="G797" s="38">
        <v>10</v>
      </c>
      <c r="H797" s="39">
        <f t="shared" si="148"/>
        <v>9</v>
      </c>
      <c r="I797" s="37">
        <v>498.35977300000002</v>
      </c>
      <c r="J797" s="37">
        <v>919.90611000000001</v>
      </c>
      <c r="K797" s="37">
        <v>774.11424499999998</v>
      </c>
      <c r="L797" s="37">
        <v>9.6185519999999993</v>
      </c>
      <c r="M797" s="37">
        <v>82.403397999999996</v>
      </c>
      <c r="N797" s="39">
        <f t="shared" si="149"/>
        <v>48.933486999999992</v>
      </c>
      <c r="O797" s="37">
        <v>33.469911000000003</v>
      </c>
      <c r="P797" s="40">
        <v>0</v>
      </c>
      <c r="Q797" s="40">
        <v>0</v>
      </c>
      <c r="R797" s="41">
        <f t="shared" si="150"/>
        <v>0</v>
      </c>
      <c r="S797" s="42">
        <v>278</v>
      </c>
    </row>
    <row r="798" spans="2:19" ht="15.75" x14ac:dyDescent="0.25">
      <c r="B798" s="55">
        <f t="shared" si="151"/>
        <v>5</v>
      </c>
      <c r="C798" s="34" t="s">
        <v>1151</v>
      </c>
      <c r="D798" s="35" t="s">
        <v>1152</v>
      </c>
      <c r="E798" s="36">
        <v>42551</v>
      </c>
      <c r="F798" s="37">
        <v>229.77</v>
      </c>
      <c r="G798" s="38">
        <v>10</v>
      </c>
      <c r="H798" s="39">
        <f t="shared" si="148"/>
        <v>22.977</v>
      </c>
      <c r="I798" s="37">
        <v>392.88900000000001</v>
      </c>
      <c r="J798" s="37">
        <v>1670.1690000000001</v>
      </c>
      <c r="K798" s="37">
        <v>2097.0279999999998</v>
      </c>
      <c r="L798" s="37">
        <v>70.034000000000006</v>
      </c>
      <c r="M798" s="37">
        <v>136.85599999999999</v>
      </c>
      <c r="N798" s="39">
        <f t="shared" si="149"/>
        <v>34.937999999999988</v>
      </c>
      <c r="O798" s="37">
        <v>101.91800000000001</v>
      </c>
      <c r="P798" s="40">
        <v>0</v>
      </c>
      <c r="Q798" s="40">
        <f>25</f>
        <v>25</v>
      </c>
      <c r="R798" s="41">
        <f t="shared" si="150"/>
        <v>25</v>
      </c>
      <c r="S798" s="42">
        <v>2245</v>
      </c>
    </row>
    <row r="799" spans="2:19" ht="15.75" x14ac:dyDescent="0.25">
      <c r="B799" s="55">
        <f t="shared" si="151"/>
        <v>6</v>
      </c>
      <c r="C799" s="34" t="s">
        <v>1153</v>
      </c>
      <c r="D799" s="35" t="s">
        <v>1154</v>
      </c>
      <c r="E799" s="36">
        <v>42551</v>
      </c>
      <c r="F799" s="37">
        <v>282.66230999999999</v>
      </c>
      <c r="G799" s="38">
        <v>10</v>
      </c>
      <c r="H799" s="39">
        <f t="shared" si="148"/>
        <v>28.266230999999998</v>
      </c>
      <c r="I799" s="37">
        <v>225.96795599999999</v>
      </c>
      <c r="J799" s="37">
        <v>711.57507699999996</v>
      </c>
      <c r="K799" s="37">
        <v>495.08844099999999</v>
      </c>
      <c r="L799" s="37">
        <v>0.58041399999999999</v>
      </c>
      <c r="M799" s="37">
        <v>28.641967000000001</v>
      </c>
      <c r="N799" s="39">
        <f t="shared" si="149"/>
        <v>7.2079190000000004</v>
      </c>
      <c r="O799" s="37">
        <v>21.434048000000001</v>
      </c>
      <c r="P799" s="40">
        <v>0</v>
      </c>
      <c r="Q799" s="40">
        <v>0</v>
      </c>
      <c r="R799" s="41">
        <f t="shared" si="150"/>
        <v>0</v>
      </c>
      <c r="S799" s="42">
        <v>2377</v>
      </c>
    </row>
    <row r="800" spans="2:19" ht="15.75" x14ac:dyDescent="0.25">
      <c r="B800" s="55">
        <f t="shared" si="151"/>
        <v>7</v>
      </c>
      <c r="C800" s="55" t="s">
        <v>1155</v>
      </c>
      <c r="D800" s="35" t="s">
        <v>1156</v>
      </c>
      <c r="E800" s="36">
        <v>42551</v>
      </c>
      <c r="F800" s="37">
        <v>73.493409999999997</v>
      </c>
      <c r="G800" s="38">
        <v>10</v>
      </c>
      <c r="H800" s="39">
        <f t="shared" si="148"/>
        <v>7.3493409999999999</v>
      </c>
      <c r="I800" s="37">
        <v>257.28264000000001</v>
      </c>
      <c r="J800" s="37">
        <v>309.80124599999999</v>
      </c>
      <c r="K800" s="37">
        <v>265.03616899999997</v>
      </c>
      <c r="L800" s="37">
        <v>1.126627</v>
      </c>
      <c r="M800" s="37">
        <v>41.419091999999999</v>
      </c>
      <c r="N800" s="39">
        <f t="shared" si="149"/>
        <v>3.5124270000000024</v>
      </c>
      <c r="O800" s="37">
        <v>37.906664999999997</v>
      </c>
      <c r="P800" s="40">
        <f>21</f>
        <v>21</v>
      </c>
      <c r="Q800" s="40">
        <v>0</v>
      </c>
      <c r="R800" s="41">
        <f t="shared" si="150"/>
        <v>21</v>
      </c>
      <c r="S800" s="42">
        <v>362</v>
      </c>
    </row>
    <row r="801" spans="2:19" ht="15.75" x14ac:dyDescent="0.25">
      <c r="B801" s="55">
        <f t="shared" si="151"/>
        <v>8</v>
      </c>
      <c r="C801" s="34" t="s">
        <v>1157</v>
      </c>
      <c r="D801" s="35" t="s">
        <v>1158</v>
      </c>
      <c r="E801" s="36">
        <v>42551</v>
      </c>
      <c r="F801" s="37">
        <v>32</v>
      </c>
      <c r="G801" s="38">
        <v>5</v>
      </c>
      <c r="H801" s="39">
        <f t="shared" si="148"/>
        <v>6.4</v>
      </c>
      <c r="I801" s="37">
        <v>1.3202130000000001</v>
      </c>
      <c r="J801" s="37">
        <v>6.012435</v>
      </c>
      <c r="K801" s="37">
        <v>0</v>
      </c>
      <c r="L801" s="37">
        <v>0</v>
      </c>
      <c r="M801" s="37">
        <v>-0.51625399999999999</v>
      </c>
      <c r="N801" s="39">
        <f t="shared" si="149"/>
        <v>2.2999999999999687E-3</v>
      </c>
      <c r="O801" s="37">
        <v>-0.51855399999999996</v>
      </c>
      <c r="P801" s="40">
        <v>0</v>
      </c>
      <c r="Q801" s="40">
        <v>0</v>
      </c>
      <c r="R801" s="41">
        <f t="shared" si="150"/>
        <v>0</v>
      </c>
      <c r="S801" s="42">
        <v>1882</v>
      </c>
    </row>
    <row r="802" spans="2:19" ht="15.75" x14ac:dyDescent="0.25">
      <c r="B802" s="55">
        <f t="shared" si="151"/>
        <v>9</v>
      </c>
      <c r="C802" s="34" t="s">
        <v>1159</v>
      </c>
      <c r="D802" s="35" t="s">
        <v>1160</v>
      </c>
      <c r="E802" s="36">
        <v>42551</v>
      </c>
      <c r="F802" s="37">
        <v>388.86</v>
      </c>
      <c r="G802" s="38">
        <v>10</v>
      </c>
      <c r="H802" s="39">
        <f t="shared" si="148"/>
        <v>38.886000000000003</v>
      </c>
      <c r="I802" s="37">
        <v>553.88549399999999</v>
      </c>
      <c r="J802" s="37">
        <v>1556.765345</v>
      </c>
      <c r="K802" s="37">
        <v>1309.860044</v>
      </c>
      <c r="L802" s="37">
        <v>23.226828000000001</v>
      </c>
      <c r="M802" s="37">
        <v>116.156294</v>
      </c>
      <c r="N802" s="39">
        <f t="shared" si="149"/>
        <v>29.784267</v>
      </c>
      <c r="O802" s="37">
        <v>86.372027000000003</v>
      </c>
      <c r="P802" s="40">
        <f>10</f>
        <v>10</v>
      </c>
      <c r="Q802" s="40">
        <v>0</v>
      </c>
      <c r="R802" s="41">
        <f t="shared" si="150"/>
        <v>10</v>
      </c>
      <c r="S802" s="42">
        <v>1102</v>
      </c>
    </row>
    <row r="803" spans="2:19" ht="15.75" x14ac:dyDescent="0.25">
      <c r="B803" s="55">
        <f t="shared" si="151"/>
        <v>10</v>
      </c>
      <c r="C803" s="55" t="s">
        <v>1161</v>
      </c>
      <c r="D803" s="35" t="s">
        <v>1162</v>
      </c>
      <c r="E803" s="36">
        <v>42551</v>
      </c>
      <c r="F803" s="37">
        <v>2788.7660000000001</v>
      </c>
      <c r="G803" s="38">
        <v>10</v>
      </c>
      <c r="H803" s="39">
        <f t="shared" si="148"/>
        <v>278.8766</v>
      </c>
      <c r="I803" s="37">
        <v>2222.3580000000002</v>
      </c>
      <c r="J803" s="37">
        <v>7303.0029999999997</v>
      </c>
      <c r="K803" s="37">
        <v>416.93099999999998</v>
      </c>
      <c r="L803" s="37">
        <v>169.256</v>
      </c>
      <c r="M803" s="37">
        <v>354.25900000000001</v>
      </c>
      <c r="N803" s="39">
        <f t="shared" si="149"/>
        <v>60.22399999999999</v>
      </c>
      <c r="O803" s="37">
        <v>294.03500000000003</v>
      </c>
      <c r="P803" s="40">
        <v>0</v>
      </c>
      <c r="Q803" s="40">
        <v>0</v>
      </c>
      <c r="R803" s="41">
        <f t="shared" si="150"/>
        <v>0</v>
      </c>
      <c r="S803" s="42">
        <v>10564</v>
      </c>
    </row>
    <row r="804" spans="2:19" ht="15.75" x14ac:dyDescent="0.25">
      <c r="B804" s="55">
        <f t="shared" si="151"/>
        <v>11</v>
      </c>
      <c r="C804" s="55" t="s">
        <v>1163</v>
      </c>
      <c r="D804" s="35" t="s">
        <v>1164</v>
      </c>
      <c r="E804" s="36">
        <v>42551</v>
      </c>
      <c r="F804" s="37">
        <v>180</v>
      </c>
      <c r="G804" s="38">
        <v>10</v>
      </c>
      <c r="H804" s="39">
        <f t="shared" si="148"/>
        <v>18</v>
      </c>
      <c r="I804" s="37">
        <v>326.88799999999998</v>
      </c>
      <c r="J804" s="37">
        <v>5116.7219999999998</v>
      </c>
      <c r="K804" s="37">
        <v>740.51199999999994</v>
      </c>
      <c r="L804" s="37">
        <v>0.32400000000000001</v>
      </c>
      <c r="M804" s="37">
        <v>203.05699999999999</v>
      </c>
      <c r="N804" s="39">
        <f t="shared" si="149"/>
        <v>69.810999999999979</v>
      </c>
      <c r="O804" s="37">
        <v>133.24600000000001</v>
      </c>
      <c r="P804" s="40">
        <f>30+30+50</f>
        <v>110</v>
      </c>
      <c r="Q804" s="40">
        <v>0</v>
      </c>
      <c r="R804" s="41">
        <f t="shared" si="150"/>
        <v>110</v>
      </c>
      <c r="S804" s="42">
        <v>250</v>
      </c>
    </row>
    <row r="805" spans="2:19" ht="15.75" x14ac:dyDescent="0.25">
      <c r="B805" s="55">
        <f t="shared" si="151"/>
        <v>12</v>
      </c>
      <c r="C805" s="55" t="s">
        <v>1165</v>
      </c>
      <c r="D805" s="35" t="s">
        <v>1166</v>
      </c>
      <c r="E805" s="36">
        <v>42551</v>
      </c>
      <c r="F805" s="37">
        <v>325.24200000000002</v>
      </c>
      <c r="G805" s="38">
        <v>10</v>
      </c>
      <c r="H805" s="39">
        <f t="shared" si="148"/>
        <v>32.5242</v>
      </c>
      <c r="I805" s="37">
        <v>7775.665</v>
      </c>
      <c r="J805" s="37">
        <v>36634.127</v>
      </c>
      <c r="K805" s="37">
        <v>9151.06</v>
      </c>
      <c r="L805" s="37">
        <v>167.75299999999999</v>
      </c>
      <c r="M805" s="37">
        <v>1216.482</v>
      </c>
      <c r="N805" s="39">
        <f t="shared" si="149"/>
        <v>591.27699999999993</v>
      </c>
      <c r="O805" s="37">
        <v>625.20500000000004</v>
      </c>
      <c r="P805" s="40">
        <f>50+25</f>
        <v>75</v>
      </c>
      <c r="Q805" s="40">
        <v>0</v>
      </c>
      <c r="R805" s="41">
        <f t="shared" si="150"/>
        <v>75</v>
      </c>
      <c r="S805" s="42">
        <v>911</v>
      </c>
    </row>
    <row r="806" spans="2:19" ht="15.75" x14ac:dyDescent="0.25">
      <c r="B806" s="55">
        <f t="shared" si="151"/>
        <v>13</v>
      </c>
      <c r="C806" s="34" t="s">
        <v>1167</v>
      </c>
      <c r="D806" s="35" t="s">
        <v>1168</v>
      </c>
      <c r="E806" s="36">
        <v>42551</v>
      </c>
      <c r="F806" s="37">
        <v>545.37900000000002</v>
      </c>
      <c r="G806" s="38">
        <v>10</v>
      </c>
      <c r="H806" s="39">
        <f t="shared" si="148"/>
        <v>54.5379</v>
      </c>
      <c r="I806" s="37">
        <v>3682.2689999999998</v>
      </c>
      <c r="J806" s="37">
        <v>7194.6989999999996</v>
      </c>
      <c r="K806" s="37">
        <v>8730.8029999999999</v>
      </c>
      <c r="L806" s="37">
        <v>108.997</v>
      </c>
      <c r="M806" s="37">
        <v>1040.028</v>
      </c>
      <c r="N806" s="39">
        <f t="shared" si="149"/>
        <v>279.93000000000006</v>
      </c>
      <c r="O806" s="37">
        <v>760.09799999999996</v>
      </c>
      <c r="P806" s="40">
        <f>20+30</f>
        <v>50</v>
      </c>
      <c r="Q806" s="40">
        <v>0</v>
      </c>
      <c r="R806" s="41">
        <f t="shared" si="150"/>
        <v>50</v>
      </c>
      <c r="S806" s="42">
        <v>2197</v>
      </c>
    </row>
    <row r="807" spans="2:19" ht="15.75" x14ac:dyDescent="0.25">
      <c r="B807" s="55">
        <f t="shared" si="151"/>
        <v>14</v>
      </c>
      <c r="C807" s="34" t="s">
        <v>1169</v>
      </c>
      <c r="D807" s="35" t="s">
        <v>1170</v>
      </c>
      <c r="E807" s="36">
        <v>42551</v>
      </c>
      <c r="F807" s="37">
        <v>773.5</v>
      </c>
      <c r="G807" s="38">
        <v>10</v>
      </c>
      <c r="H807" s="39">
        <f t="shared" si="148"/>
        <v>77.349999999999994</v>
      </c>
      <c r="I807" s="37">
        <v>1609.3917489999999</v>
      </c>
      <c r="J807" s="37">
        <v>2481.0243580000001</v>
      </c>
      <c r="K807" s="37">
        <v>2321.850602</v>
      </c>
      <c r="L807" s="37">
        <v>38.439289000000002</v>
      </c>
      <c r="M807" s="37">
        <v>393.54276499999997</v>
      </c>
      <c r="N807" s="39">
        <f t="shared" si="149"/>
        <v>37.752083999999968</v>
      </c>
      <c r="O807" s="37">
        <v>355.79068100000001</v>
      </c>
      <c r="P807" s="40">
        <f>5+10</f>
        <v>15</v>
      </c>
      <c r="Q807" s="40">
        <v>0</v>
      </c>
      <c r="R807" s="41">
        <f t="shared" si="150"/>
        <v>15</v>
      </c>
      <c r="S807" s="42">
        <v>2247</v>
      </c>
    </row>
    <row r="808" spans="2:19" ht="15.75" x14ac:dyDescent="0.25">
      <c r="B808" s="55">
        <f t="shared" si="151"/>
        <v>15</v>
      </c>
      <c r="C808" s="34" t="s">
        <v>1171</v>
      </c>
      <c r="D808" s="35" t="s">
        <v>1172</v>
      </c>
      <c r="E808" s="36">
        <v>42551</v>
      </c>
      <c r="F808" s="37">
        <v>785.20127000000002</v>
      </c>
      <c r="G808" s="38">
        <v>10</v>
      </c>
      <c r="H808" s="39">
        <f t="shared" si="148"/>
        <v>78.520127000000002</v>
      </c>
      <c r="I808" s="37">
        <v>821.92131400000005</v>
      </c>
      <c r="J808" s="37">
        <v>1650.387504</v>
      </c>
      <c r="K808" s="37">
        <v>2119.4585929999998</v>
      </c>
      <c r="L808" s="37">
        <v>76.361385999999996</v>
      </c>
      <c r="M808" s="37">
        <v>79.961326999999997</v>
      </c>
      <c r="N808" s="39">
        <f t="shared" si="149"/>
        <v>21.073067999999999</v>
      </c>
      <c r="O808" s="37">
        <v>58.888258999999998</v>
      </c>
      <c r="P808" s="40">
        <f>5</f>
        <v>5</v>
      </c>
      <c r="Q808" s="40">
        <v>0</v>
      </c>
      <c r="R808" s="41">
        <f t="shared" si="150"/>
        <v>5</v>
      </c>
      <c r="S808" s="42">
        <v>2914</v>
      </c>
    </row>
    <row r="809" spans="2:19" ht="15.75" x14ac:dyDescent="0.25">
      <c r="B809" s="55">
        <f t="shared" si="151"/>
        <v>16</v>
      </c>
      <c r="C809" s="34" t="s">
        <v>1173</v>
      </c>
      <c r="D809" s="35" t="s">
        <v>1174</v>
      </c>
      <c r="E809" s="36">
        <v>42551</v>
      </c>
      <c r="F809" s="37">
        <v>2080</v>
      </c>
      <c r="G809" s="38">
        <v>10</v>
      </c>
      <c r="H809" s="39">
        <f>+F809/G809</f>
        <v>208</v>
      </c>
      <c r="I809" s="37">
        <v>3196.0310039999999</v>
      </c>
      <c r="J809" s="37">
        <v>6068.6059100000002</v>
      </c>
      <c r="K809" s="37">
        <v>364.05660399999999</v>
      </c>
      <c r="L809" s="37">
        <v>236.62</v>
      </c>
      <c r="M809" s="37">
        <v>314.23632900000001</v>
      </c>
      <c r="N809" s="39">
        <f>+M809-O809</f>
        <v>23.566278000000011</v>
      </c>
      <c r="O809" s="37">
        <v>290.670051</v>
      </c>
      <c r="P809" s="40">
        <v>0</v>
      </c>
      <c r="Q809" s="40">
        <v>0</v>
      </c>
      <c r="R809" s="41">
        <f>SUM(P809:Q809)</f>
        <v>0</v>
      </c>
      <c r="S809" s="42">
        <v>80</v>
      </c>
    </row>
    <row r="810" spans="2:19" ht="15.75" x14ac:dyDescent="0.25">
      <c r="B810" s="55">
        <f t="shared" si="151"/>
        <v>17</v>
      </c>
      <c r="C810" s="34" t="s">
        <v>1175</v>
      </c>
      <c r="D810" s="35" t="s">
        <v>1176</v>
      </c>
      <c r="E810" s="36">
        <v>42735</v>
      </c>
      <c r="F810" s="37">
        <v>388</v>
      </c>
      <c r="G810" s="38">
        <v>10</v>
      </c>
      <c r="H810" s="39">
        <f t="shared" si="148"/>
        <v>38.799999999999997</v>
      </c>
      <c r="I810" s="37">
        <v>3800.8180000000002</v>
      </c>
      <c r="J810" s="37">
        <v>11145.08</v>
      </c>
      <c r="K810" s="37">
        <v>11778.066999999999</v>
      </c>
      <c r="L810" s="37">
        <v>454.983</v>
      </c>
      <c r="M810" s="37">
        <v>913.65800000000002</v>
      </c>
      <c r="N810" s="39">
        <f t="shared" si="149"/>
        <v>159.17600000000004</v>
      </c>
      <c r="O810" s="37">
        <v>754.48199999999997</v>
      </c>
      <c r="P810" s="40">
        <f>100</f>
        <v>100</v>
      </c>
      <c r="Q810" s="40">
        <v>0</v>
      </c>
      <c r="R810" s="41">
        <f t="shared" si="150"/>
        <v>100</v>
      </c>
      <c r="S810" s="42">
        <v>2211</v>
      </c>
    </row>
    <row r="811" spans="2:19" ht="15.75" x14ac:dyDescent="0.25">
      <c r="B811" s="55">
        <f t="shared" si="151"/>
        <v>18</v>
      </c>
      <c r="C811" s="55" t="s">
        <v>1177</v>
      </c>
      <c r="D811" s="35" t="s">
        <v>1178</v>
      </c>
      <c r="E811" s="36">
        <v>42551</v>
      </c>
      <c r="F811" s="37">
        <v>108</v>
      </c>
      <c r="G811" s="38">
        <v>10</v>
      </c>
      <c r="H811" s="39">
        <f t="shared" si="148"/>
        <v>10.8</v>
      </c>
      <c r="I811" s="37">
        <v>95.134</v>
      </c>
      <c r="J811" s="37">
        <v>821.39</v>
      </c>
      <c r="K811" s="37">
        <v>1483.7370000000001</v>
      </c>
      <c r="L811" s="37">
        <v>6.0759999999999996</v>
      </c>
      <c r="M811" s="37">
        <v>51.628999999999998</v>
      </c>
      <c r="N811" s="39">
        <f t="shared" si="149"/>
        <v>23.187999999999999</v>
      </c>
      <c r="O811" s="37">
        <v>28.440999999999999</v>
      </c>
      <c r="P811" s="40">
        <v>0</v>
      </c>
      <c r="Q811" s="40">
        <v>0</v>
      </c>
      <c r="R811" s="41">
        <f t="shared" si="150"/>
        <v>0</v>
      </c>
      <c r="S811" s="42">
        <v>365</v>
      </c>
    </row>
    <row r="812" spans="2:19" ht="15.75" x14ac:dyDescent="0.25">
      <c r="B812" s="55">
        <f t="shared" si="151"/>
        <v>19</v>
      </c>
      <c r="C812" s="55" t="s">
        <v>1179</v>
      </c>
      <c r="D812" s="35" t="s">
        <v>1180</v>
      </c>
      <c r="E812" s="36">
        <v>42551</v>
      </c>
      <c r="F812" s="37">
        <v>202.047</v>
      </c>
      <c r="G812" s="38">
        <v>10</v>
      </c>
      <c r="H812" s="39">
        <f t="shared" si="148"/>
        <v>20.204699999999999</v>
      </c>
      <c r="I812" s="37">
        <v>1033.6569999999999</v>
      </c>
      <c r="J812" s="37">
        <v>1286.2950000000001</v>
      </c>
      <c r="K812" s="37">
        <v>355.35199999999998</v>
      </c>
      <c r="L812" s="37">
        <v>3.4550000000000001</v>
      </c>
      <c r="M812" s="37">
        <v>150.89400000000001</v>
      </c>
      <c r="N812" s="39">
        <f t="shared" si="149"/>
        <v>41.126000000000005</v>
      </c>
      <c r="O812" s="37">
        <v>109.768</v>
      </c>
      <c r="P812" s="40">
        <f>0</f>
        <v>0</v>
      </c>
      <c r="Q812" s="40">
        <f>20</f>
        <v>20</v>
      </c>
      <c r="R812" s="41">
        <f t="shared" si="150"/>
        <v>20</v>
      </c>
      <c r="S812" s="42">
        <v>1336</v>
      </c>
    </row>
    <row r="813" spans="2:19" ht="15.75" x14ac:dyDescent="0.25">
      <c r="B813" s="29"/>
      <c r="C813" s="29"/>
      <c r="D813" s="29"/>
      <c r="E813" s="29"/>
      <c r="F813" s="29"/>
      <c r="G813" s="43"/>
      <c r="H813" s="44"/>
      <c r="I813" s="31"/>
      <c r="J813" s="31"/>
      <c r="K813" s="31"/>
      <c r="L813" s="31"/>
      <c r="M813" s="31"/>
      <c r="N813" s="45"/>
      <c r="O813" s="31"/>
      <c r="P813" s="31"/>
      <c r="Q813" s="31"/>
      <c r="R813" s="45"/>
      <c r="S813" s="31"/>
    </row>
    <row r="814" spans="2:19" ht="18.75" x14ac:dyDescent="0.3">
      <c r="B814" s="29"/>
      <c r="C814" s="29"/>
      <c r="D814" s="57" t="s">
        <v>45</v>
      </c>
      <c r="E814" s="29"/>
      <c r="F814" s="29"/>
      <c r="G814" s="43"/>
      <c r="H814" s="44"/>
      <c r="I814" s="31"/>
      <c r="J814" s="31"/>
      <c r="K814" s="31"/>
      <c r="L814" s="31"/>
      <c r="M814" s="31"/>
      <c r="N814" s="45"/>
      <c r="O814" s="31"/>
      <c r="P814" s="31"/>
      <c r="Q814" s="31"/>
      <c r="R814" s="45"/>
      <c r="S814" s="31"/>
    </row>
    <row r="815" spans="2:19" ht="15.75" x14ac:dyDescent="0.25">
      <c r="B815" s="34">
        <v>1</v>
      </c>
      <c r="C815" s="34" t="s">
        <v>1181</v>
      </c>
      <c r="D815" s="35" t="s">
        <v>1182</v>
      </c>
      <c r="E815" s="36">
        <v>42551</v>
      </c>
      <c r="F815" s="37">
        <v>23.228000000000002</v>
      </c>
      <c r="G815" s="38">
        <v>10</v>
      </c>
      <c r="H815" s="39">
        <f>+F815/G815</f>
        <v>2.3228</v>
      </c>
      <c r="I815" s="37">
        <v>-41.576967000000003</v>
      </c>
      <c r="J815" s="37">
        <v>4.0510669999999998</v>
      </c>
      <c r="K815" s="37">
        <v>0.33128099999999999</v>
      </c>
      <c r="L815" s="37">
        <v>0</v>
      </c>
      <c r="M815" s="37">
        <v>-1.031447</v>
      </c>
      <c r="N815" s="39">
        <f>+M815-O815</f>
        <v>-0.22232580000000002</v>
      </c>
      <c r="O815" s="37">
        <v>-0.80912119999999998</v>
      </c>
      <c r="P815" s="40">
        <v>0</v>
      </c>
      <c r="Q815" s="40">
        <v>0</v>
      </c>
      <c r="R815" s="41">
        <f>SUM(P815:Q815)</f>
        <v>0</v>
      </c>
      <c r="S815" s="42">
        <v>1302</v>
      </c>
    </row>
    <row r="816" spans="2:19" ht="15.75" x14ac:dyDescent="0.25">
      <c r="B816" s="34">
        <f>+B815+1</f>
        <v>2</v>
      </c>
      <c r="C816" s="34" t="s">
        <v>1183</v>
      </c>
      <c r="D816" s="35" t="s">
        <v>1184</v>
      </c>
      <c r="E816" s="36">
        <v>42551</v>
      </c>
      <c r="F816" s="37">
        <v>16.335000000000001</v>
      </c>
      <c r="G816" s="38">
        <v>10</v>
      </c>
      <c r="H816" s="39">
        <f>+F816/G816</f>
        <v>1.6335000000000002</v>
      </c>
      <c r="I816" s="37">
        <v>-106.12305499999999</v>
      </c>
      <c r="J816" s="37">
        <v>103.28769200000001</v>
      </c>
      <c r="K816" s="37">
        <v>0</v>
      </c>
      <c r="L816" s="37">
        <v>0</v>
      </c>
      <c r="M816" s="37">
        <v>-0.98702500000000004</v>
      </c>
      <c r="N816" s="39">
        <f>+M816-O816</f>
        <v>0</v>
      </c>
      <c r="O816" s="37">
        <v>-0.98702500000000004</v>
      </c>
      <c r="P816" s="40">
        <v>0</v>
      </c>
      <c r="Q816" s="40">
        <v>0</v>
      </c>
      <c r="R816" s="41">
        <f>SUM(P816:Q816)</f>
        <v>0</v>
      </c>
      <c r="S816" s="42">
        <v>636</v>
      </c>
    </row>
    <row r="817" spans="2:19" ht="15.75" x14ac:dyDescent="0.25">
      <c r="B817" s="34">
        <f>+B816+1</f>
        <v>3</v>
      </c>
      <c r="C817" s="55" t="s">
        <v>1185</v>
      </c>
      <c r="D817" s="35" t="s">
        <v>1186</v>
      </c>
      <c r="E817" s="36">
        <v>42551</v>
      </c>
      <c r="F817" s="37">
        <v>73.554000000000002</v>
      </c>
      <c r="G817" s="38">
        <v>10</v>
      </c>
      <c r="H817" s="39">
        <f>+F817/G817</f>
        <v>7.3554000000000004</v>
      </c>
      <c r="I817" s="37">
        <v>-285.75792100000001</v>
      </c>
      <c r="J817" s="37">
        <v>86.083656000000005</v>
      </c>
      <c r="K817" s="37">
        <v>0</v>
      </c>
      <c r="L817" s="37">
        <v>5.0001899999999999</v>
      </c>
      <c r="M817" s="37">
        <v>0.12783800000000001</v>
      </c>
      <c r="N817" s="39">
        <f>+M817-O817</f>
        <v>8.3932000000000007E-2</v>
      </c>
      <c r="O817" s="37">
        <v>4.3906000000000001E-2</v>
      </c>
      <c r="P817" s="40">
        <v>0</v>
      </c>
      <c r="Q817" s="40">
        <v>0</v>
      </c>
      <c r="R817" s="41">
        <f>SUM(P817:Q817)</f>
        <v>0</v>
      </c>
      <c r="S817" s="42">
        <v>2683</v>
      </c>
    </row>
    <row r="818" spans="2:19" ht="15.75" x14ac:dyDescent="0.25">
      <c r="B818" s="29"/>
      <c r="C818" s="29"/>
      <c r="D818" s="29"/>
      <c r="E818" s="29"/>
      <c r="F818" s="29"/>
      <c r="G818" s="43"/>
      <c r="H818" s="44"/>
      <c r="I818" s="31"/>
      <c r="J818" s="31"/>
      <c r="K818" s="31"/>
      <c r="L818" s="31"/>
      <c r="M818" s="31"/>
      <c r="N818" s="45"/>
      <c r="O818" s="31"/>
      <c r="P818" s="31"/>
      <c r="Q818" s="31"/>
      <c r="R818" s="45"/>
      <c r="S818" s="31"/>
    </row>
    <row r="819" spans="2:19" ht="15.75" x14ac:dyDescent="0.25">
      <c r="B819" s="34">
        <f>COUNT(B794:B818)</f>
        <v>22</v>
      </c>
      <c r="C819" s="34"/>
      <c r="D819" s="48"/>
      <c r="E819" s="48"/>
      <c r="F819" s="48">
        <f>SUM(F794:F818)</f>
        <v>9551.1107229999998</v>
      </c>
      <c r="G819" s="49"/>
      <c r="H819" s="50">
        <f t="shared" ref="H819:O819" si="152">SUM(H794:H818)</f>
        <v>958.31107229999998</v>
      </c>
      <c r="I819" s="48">
        <f t="shared" si="152"/>
        <v>26589.672725999993</v>
      </c>
      <c r="J819" s="48">
        <f t="shared" si="152"/>
        <v>85890.102885999993</v>
      </c>
      <c r="K819" s="48">
        <f t="shared" si="152"/>
        <v>42773.511427999998</v>
      </c>
      <c r="L819" s="48">
        <f t="shared" si="152"/>
        <v>1374.4817780000001</v>
      </c>
      <c r="M819" s="48">
        <f t="shared" si="152"/>
        <v>5149.3471060000002</v>
      </c>
      <c r="N819" s="51">
        <f t="shared" si="152"/>
        <v>1438.6529032000001</v>
      </c>
      <c r="O819" s="48">
        <f t="shared" si="152"/>
        <v>3710.6942027999999</v>
      </c>
      <c r="P819" s="52"/>
      <c r="Q819" s="52"/>
      <c r="R819" s="53"/>
      <c r="S819" s="54">
        <f>SUM(S794:S818)</f>
        <v>38174</v>
      </c>
    </row>
    <row r="820" spans="2:19" ht="15.75" x14ac:dyDescent="0.25">
      <c r="B820" s="29"/>
      <c r="C820" s="29"/>
      <c r="D820" s="29"/>
      <c r="E820" s="29"/>
      <c r="F820" s="29"/>
      <c r="G820" s="29"/>
      <c r="H820" s="30"/>
      <c r="I820" s="31"/>
      <c r="J820" s="31"/>
      <c r="K820" s="31"/>
      <c r="L820" s="31"/>
      <c r="M820" s="31"/>
      <c r="N820" s="32"/>
      <c r="O820" s="31"/>
      <c r="P820" s="31"/>
      <c r="Q820" s="31"/>
      <c r="R820" s="32"/>
      <c r="S820" s="31"/>
    </row>
  </sheetData>
  <mergeCells count="2">
    <mergeCell ref="D1:F1"/>
    <mergeCell ref="D77:F77"/>
  </mergeCells>
  <pageMargins left="0.25" right="0" top="0.75" bottom="0.75" header="0.5" footer="0.5"/>
  <pageSetup paperSize="9" scale="48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Master Data Entry</vt:lpstr>
      <vt:lpstr>'Master Data Entry'!Print_Area</vt:lpstr>
      <vt:lpstr>'Master Data Entry'!Print_Titles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Asghar</dc:creator>
  <cp:lastModifiedBy>Ali Asghar</cp:lastModifiedBy>
  <dcterms:created xsi:type="dcterms:W3CDTF">2022-03-10T07:05:11Z</dcterms:created>
  <dcterms:modified xsi:type="dcterms:W3CDTF">2022-03-10T07:06:01Z</dcterms:modified>
</cp:coreProperties>
</file>